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ju020843\AppData\Local\Microsoft\Windows\INetCache\Content.Outlook\5I9O7I9O\"/>
    </mc:Choice>
  </mc:AlternateContent>
  <xr:revisionPtr revIDLastSave="0" documentId="13_ncr:1_{0E501266-BBF8-44EA-843A-BB1B0E2D4E96}" xr6:coauthVersionLast="46" xr6:coauthVersionMax="46" xr10:uidLastSave="{00000000-0000-0000-0000-000000000000}"/>
  <workbookProtection workbookAlgorithmName="SHA-512" workbookHashValue="+GO7nIuOLXM94hIOYTRlNXYKGiItessW75dukGDc3e57GaWDO9JpAuopLaqXuzXPVacxEdsimRrjtNGmcNx95g==" workbookSaltValue="BNdtxHfthXrJOUy1v3dxVA==" workbookSpinCount="100000" lockStructure="1"/>
  <bookViews>
    <workbookView xWindow="-120" yWindow="-120" windowWidth="29040" windowHeight="15840" xr2:uid="{F5B32A31-E843-403D-9D39-45B1B445DC2C}"/>
  </bookViews>
  <sheets>
    <sheet name="Pay Journey" sheetId="4" r:id="rId1"/>
    <sheet name="Pay Tables" sheetId="1" state="hidden" r:id="rId2"/>
    <sheet name="Analysis" sheetId="2" state="hidden" r:id="rId3"/>
    <sheet name="Lookup" sheetId="3" state="hidden" r:id="rId4"/>
  </sheets>
  <definedNames>
    <definedName name="PercApplied">Lookup!$C$2:INDEX(Lookup!$C$2:$C$14,COUNTA(Lookup!$C$2:$C$14))</definedName>
    <definedName name="WageAward">Analysis!$C$5</definedName>
    <definedName name="YrExp">Lookup!$A$2:INDEX(Lookup!$A$2:$A$29,COUNTA(Lookup!$A$2:$B$29))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 l="1"/>
  <c r="E47" i="1"/>
  <c r="E48" i="1" s="1"/>
  <c r="D47" i="1"/>
  <c r="E46" i="1"/>
  <c r="D46" i="1"/>
  <c r="E45" i="1"/>
  <c r="D45" i="1"/>
  <c r="E44" i="1"/>
  <c r="D44" i="1"/>
  <c r="E43" i="1"/>
  <c r="D43" i="1"/>
  <c r="E42" i="1"/>
  <c r="D42" i="1"/>
  <c r="E41" i="1"/>
  <c r="D41" i="1"/>
  <c r="E40" i="1" s="1"/>
  <c r="D40" i="1"/>
  <c r="E39" i="1"/>
  <c r="D39" i="1"/>
  <c r="E38" i="1"/>
  <c r="D38" i="1"/>
  <c r="E37" i="1"/>
  <c r="D36" i="1"/>
  <c r="E35" i="1"/>
  <c r="D35" i="1"/>
  <c r="E34" i="1"/>
  <c r="D33" i="1"/>
  <c r="E32" i="1"/>
  <c r="D32" i="1"/>
  <c r="E31" i="1"/>
  <c r="C65" i="2" l="1"/>
  <c r="C71" i="2" s="1"/>
  <c r="D65" i="2"/>
  <c r="D71" i="2" s="1"/>
  <c r="E65" i="2"/>
  <c r="E71" i="2" s="1"/>
  <c r="F65" i="2"/>
  <c r="F71" i="2" s="1"/>
  <c r="G65" i="2"/>
  <c r="G71" i="2" s="1"/>
  <c r="H65" i="2"/>
  <c r="H71" i="2" s="1"/>
  <c r="I65" i="2"/>
  <c r="I71" i="2" s="1"/>
  <c r="J65" i="2"/>
  <c r="J71" i="2" s="1"/>
  <c r="K65" i="2"/>
  <c r="K71" i="2" s="1"/>
  <c r="L65" i="2"/>
  <c r="L71" i="2" s="1"/>
  <c r="M65" i="2"/>
  <c r="M71" i="2" s="1"/>
  <c r="N65" i="2"/>
  <c r="N71" i="2" s="1"/>
  <c r="O65" i="2"/>
  <c r="O71" i="2" s="1"/>
  <c r="P65" i="2"/>
  <c r="P71" i="2" s="1"/>
  <c r="Q65" i="2"/>
  <c r="Q71" i="2" s="1"/>
  <c r="R65" i="2"/>
  <c r="R71" i="2" s="1"/>
  <c r="B65" i="2"/>
  <c r="B71" i="2" s="1"/>
  <c r="C64" i="2"/>
  <c r="D64" i="2"/>
  <c r="E64" i="2"/>
  <c r="F64" i="2"/>
  <c r="G64" i="2"/>
  <c r="H64" i="2"/>
  <c r="I64" i="2"/>
  <c r="J64" i="2"/>
  <c r="K64" i="2"/>
  <c r="L64" i="2"/>
  <c r="M64" i="2"/>
  <c r="N64" i="2"/>
  <c r="O64" i="2"/>
  <c r="P64" i="2"/>
  <c r="Q64" i="2"/>
  <c r="R64" i="2"/>
  <c r="B64" i="2"/>
  <c r="C63" i="2"/>
  <c r="D63" i="2"/>
  <c r="E63" i="2"/>
  <c r="F63" i="2"/>
  <c r="G63" i="2"/>
  <c r="H63" i="2"/>
  <c r="I63" i="2"/>
  <c r="J63" i="2"/>
  <c r="K63" i="2"/>
  <c r="L63" i="2"/>
  <c r="M63" i="2"/>
  <c r="N63" i="2"/>
  <c r="O63" i="2"/>
  <c r="P63" i="2"/>
  <c r="Q63" i="2"/>
  <c r="R63" i="2"/>
  <c r="B63" i="2"/>
  <c r="D4" i="1"/>
  <c r="E3" i="1" s="1"/>
  <c r="D5" i="1"/>
  <c r="E4" i="1" s="1"/>
  <c r="D7" i="1"/>
  <c r="E6" i="1" s="1"/>
  <c r="D8" i="1"/>
  <c r="E7" i="1" s="1"/>
  <c r="D10" i="1"/>
  <c r="E9" i="1" s="1"/>
  <c r="D11" i="1"/>
  <c r="E10" i="1" s="1"/>
  <c r="D12" i="1"/>
  <c r="E11" i="1" s="1"/>
  <c r="D13" i="1"/>
  <c r="E12" i="1" s="1"/>
  <c r="D14" i="1"/>
  <c r="E13" i="1" s="1"/>
  <c r="D15" i="1"/>
  <c r="E14" i="1" s="1"/>
  <c r="D16" i="1"/>
  <c r="E15" i="1" s="1"/>
  <c r="D17" i="1"/>
  <c r="E16" i="1" s="1"/>
  <c r="D18" i="1"/>
  <c r="E17" i="1" s="1"/>
  <c r="D19" i="1"/>
  <c r="E18" i="1" s="1"/>
  <c r="D20" i="1"/>
  <c r="E19" i="1" s="1"/>
  <c r="E20" i="1" s="1"/>
  <c r="J17" i="2" l="1"/>
  <c r="J19" i="2" s="1"/>
  <c r="K17" i="2"/>
  <c r="A43" i="2" s="1" a="1"/>
  <c r="A43" i="2" s="1"/>
  <c r="B33" i="4" s="1"/>
  <c r="L17" i="2"/>
  <c r="A44" i="2" s="1" a="1"/>
  <c r="A44" i="2" s="1"/>
  <c r="B34" i="4" s="1"/>
  <c r="M17" i="2"/>
  <c r="A45" i="2" s="1" a="1"/>
  <c r="A45" i="2" s="1"/>
  <c r="B35" i="4" s="1"/>
  <c r="N17" i="2"/>
  <c r="N19" i="2" s="1"/>
  <c r="O17" i="2"/>
  <c r="O19" i="2" s="1"/>
  <c r="P17" i="2"/>
  <c r="P25" i="2" s="1"/>
  <c r="Q17" i="2"/>
  <c r="Q19" i="2" s="1"/>
  <c r="R17" i="2"/>
  <c r="R19" i="2" s="1"/>
  <c r="S17" i="2"/>
  <c r="S25" i="2" s="1"/>
  <c r="T17" i="2"/>
  <c r="A52" i="2" s="1" a="1"/>
  <c r="A52" i="2" s="1"/>
  <c r="B42" i="4" s="1"/>
  <c r="U17" i="2"/>
  <c r="U19" i="2" s="1"/>
  <c r="V17" i="2"/>
  <c r="V19" i="2" s="1"/>
  <c r="I17" i="2"/>
  <c r="I19" i="2" s="1"/>
  <c r="C17" i="2"/>
  <c r="C25" i="2" s="1"/>
  <c r="D17" i="2"/>
  <c r="D18" i="2" s="1"/>
  <c r="E17" i="2"/>
  <c r="F17" i="2"/>
  <c r="F19" i="2" s="1"/>
  <c r="G17" i="2"/>
  <c r="G25" i="2" s="1"/>
  <c r="H17" i="2"/>
  <c r="H25" i="2" s="1"/>
  <c r="B17" i="2"/>
  <c r="B18" i="2" s="1"/>
  <c r="C33" i="2"/>
  <c r="D23" i="4" s="1"/>
  <c r="B33" i="2"/>
  <c r="C23" i="4" s="1"/>
  <c r="C5" i="2" a="1"/>
  <c r="C5" i="2" s="1"/>
  <c r="A1" i="1" s="1"/>
  <c r="C4" i="2" a="1"/>
  <c r="C4" i="2" s="1"/>
  <c r="M19" i="2"/>
  <c r="L25" i="2"/>
  <c r="K25" i="2"/>
  <c r="A14" i="2" l="1"/>
  <c r="E32" i="2"/>
  <c r="A22" i="2"/>
  <c r="A60" i="2"/>
  <c r="T25" i="2"/>
  <c r="A51" i="2" a="1"/>
  <c r="A51" i="2" s="1"/>
  <c r="B41" i="4" s="1"/>
  <c r="A38" i="2" a="1"/>
  <c r="A38" i="2" s="1"/>
  <c r="B28" i="4" s="1"/>
  <c r="A54" i="2" a="1"/>
  <c r="A54" i="2" s="1"/>
  <c r="B44" i="4" s="1"/>
  <c r="A47" i="2" a="1"/>
  <c r="A47" i="2" s="1"/>
  <c r="B37" i="4" s="1"/>
  <c r="A41" i="2" a="1"/>
  <c r="A41" i="2" s="1"/>
  <c r="B31" i="4" s="1"/>
  <c r="A53" i="2" a="1"/>
  <c r="A53" i="2" s="1"/>
  <c r="B43" i="4" s="1"/>
  <c r="A40" i="2" a="1"/>
  <c r="A40" i="2" s="1"/>
  <c r="B30" i="4" s="1"/>
  <c r="A46" i="2" a="1"/>
  <c r="A46" i="2" s="1"/>
  <c r="B36" i="4" s="1"/>
  <c r="A39" i="2" a="1"/>
  <c r="A39" i="2" s="1"/>
  <c r="B29" i="4" s="1"/>
  <c r="A50" i="2" a="1"/>
  <c r="A50" i="2" s="1"/>
  <c r="B40" i="4" s="1"/>
  <c r="A37" i="2" a="1"/>
  <c r="A37" i="2" s="1"/>
  <c r="B27" i="4" s="1"/>
  <c r="A49" i="2" a="1"/>
  <c r="A49" i="2" s="1"/>
  <c r="B39" i="4" s="1"/>
  <c r="A36" i="2" a="1"/>
  <c r="A36" i="2" s="1"/>
  <c r="B26" i="4" s="1"/>
  <c r="A48" i="2" a="1"/>
  <c r="A48" i="2" s="1"/>
  <c r="B38" i="4" s="1"/>
  <c r="A42" i="2" a="1"/>
  <c r="A42" i="2" s="1"/>
  <c r="B32" i="4" s="1"/>
  <c r="A35" i="2" a="1"/>
  <c r="A35" i="2" s="1"/>
  <c r="B25" i="4" s="1"/>
  <c r="E70" i="2"/>
  <c r="M70" i="2"/>
  <c r="O70" i="2"/>
  <c r="K70" i="2"/>
  <c r="L70" i="2"/>
  <c r="F70" i="2"/>
  <c r="N70" i="2"/>
  <c r="D70" i="2"/>
  <c r="G70" i="2"/>
  <c r="H70" i="2"/>
  <c r="P70" i="2"/>
  <c r="C8" i="2"/>
  <c r="B70" i="2"/>
  <c r="I70" i="2"/>
  <c r="Q70" i="2"/>
  <c r="J70" i="2"/>
  <c r="R70" i="2"/>
  <c r="C70" i="2"/>
  <c r="F4" i="1"/>
  <c r="F12" i="1"/>
  <c r="G11" i="1" s="1"/>
  <c r="H11" i="1" s="1"/>
  <c r="I10" i="1" s="1"/>
  <c r="J9" i="1" s="1"/>
  <c r="K8" i="1" s="1"/>
  <c r="L7" i="1" s="1"/>
  <c r="M6" i="1" s="1"/>
  <c r="N5" i="1" s="1"/>
  <c r="O4" i="1" s="1"/>
  <c r="P3" i="1" s="1"/>
  <c r="F20" i="1"/>
  <c r="G19" i="1" s="1"/>
  <c r="G20" i="1" s="1"/>
  <c r="H20" i="1" s="1"/>
  <c r="I19" i="1" s="1"/>
  <c r="F11" i="1"/>
  <c r="G10" i="1" s="1"/>
  <c r="H10" i="1" s="1"/>
  <c r="I9" i="1" s="1"/>
  <c r="J8" i="1" s="1"/>
  <c r="K7" i="1" s="1"/>
  <c r="L6" i="1" s="1"/>
  <c r="M5" i="1" s="1"/>
  <c r="N4" i="1" s="1"/>
  <c r="O3" i="1" s="1"/>
  <c r="F5" i="1"/>
  <c r="G4" i="1" s="1"/>
  <c r="H4" i="1" s="1"/>
  <c r="I3" i="1" s="1"/>
  <c r="F13" i="1"/>
  <c r="G12" i="1" s="1"/>
  <c r="H12" i="1" s="1"/>
  <c r="I11" i="1" s="1"/>
  <c r="J10" i="1" s="1"/>
  <c r="K9" i="1" s="1"/>
  <c r="L8" i="1" s="1"/>
  <c r="M7" i="1" s="1"/>
  <c r="N6" i="1" s="1"/>
  <c r="O5" i="1" s="1"/>
  <c r="P4" i="1" s="1"/>
  <c r="Q3" i="1" s="1"/>
  <c r="F3" i="1"/>
  <c r="F6" i="1"/>
  <c r="G5" i="1" s="1"/>
  <c r="H5" i="1" s="1"/>
  <c r="I4" i="1" s="1"/>
  <c r="J3" i="1" s="1"/>
  <c r="F14" i="1"/>
  <c r="G13" i="1" s="1"/>
  <c r="H13" i="1" s="1"/>
  <c r="I12" i="1" s="1"/>
  <c r="J11" i="1" s="1"/>
  <c r="K10" i="1" s="1"/>
  <c r="L9" i="1" s="1"/>
  <c r="M8" i="1" s="1"/>
  <c r="N7" i="1" s="1"/>
  <c r="O6" i="1" s="1"/>
  <c r="P5" i="1" s="1"/>
  <c r="Q4" i="1" s="1"/>
  <c r="R3" i="1" s="1"/>
  <c r="F16" i="1"/>
  <c r="G15" i="1" s="1"/>
  <c r="H15" i="1" s="1"/>
  <c r="I14" i="1" s="1"/>
  <c r="J13" i="1" s="1"/>
  <c r="K12" i="1" s="1"/>
  <c r="L11" i="1" s="1"/>
  <c r="M10" i="1" s="1"/>
  <c r="N9" i="1" s="1"/>
  <c r="O8" i="1" s="1"/>
  <c r="P7" i="1" s="1"/>
  <c r="Q6" i="1" s="1"/>
  <c r="R5" i="1" s="1"/>
  <c r="S4" i="1" s="1"/>
  <c r="T3" i="1" s="1"/>
  <c r="F7" i="1"/>
  <c r="F15" i="1"/>
  <c r="G14" i="1" s="1"/>
  <c r="H14" i="1" s="1"/>
  <c r="I13" i="1" s="1"/>
  <c r="J12" i="1" s="1"/>
  <c r="K11" i="1" s="1"/>
  <c r="L10" i="1" s="1"/>
  <c r="M9" i="1" s="1"/>
  <c r="N8" i="1" s="1"/>
  <c r="O7" i="1" s="1"/>
  <c r="P6" i="1" s="1"/>
  <c r="Q5" i="1" s="1"/>
  <c r="R4" i="1" s="1"/>
  <c r="S3" i="1" s="1"/>
  <c r="F8" i="1"/>
  <c r="G7" i="1" s="1"/>
  <c r="H7" i="1" s="1"/>
  <c r="I6" i="1" s="1"/>
  <c r="J5" i="1" s="1"/>
  <c r="K4" i="1" s="1"/>
  <c r="L3" i="1" s="1"/>
  <c r="F19" i="1"/>
  <c r="G18" i="1" s="1"/>
  <c r="H18" i="1" s="1"/>
  <c r="I17" i="1" s="1"/>
  <c r="J16" i="1" s="1"/>
  <c r="K15" i="1" s="1"/>
  <c r="L14" i="1" s="1"/>
  <c r="M13" i="1" s="1"/>
  <c r="N12" i="1" s="1"/>
  <c r="O11" i="1" s="1"/>
  <c r="P10" i="1" s="1"/>
  <c r="Q9" i="1" s="1"/>
  <c r="R8" i="1" s="1"/>
  <c r="S7" i="1" s="1"/>
  <c r="T6" i="1" s="1"/>
  <c r="U5" i="1" s="1"/>
  <c r="V4" i="1" s="1"/>
  <c r="W3" i="1" s="1"/>
  <c r="F9" i="1"/>
  <c r="G8" i="1" s="1"/>
  <c r="H8" i="1" s="1"/>
  <c r="I7" i="1" s="1"/>
  <c r="J6" i="1" s="1"/>
  <c r="K5" i="1" s="1"/>
  <c r="L4" i="1" s="1"/>
  <c r="M3" i="1" s="1"/>
  <c r="F17" i="1"/>
  <c r="G16" i="1" s="1"/>
  <c r="H16" i="1" s="1"/>
  <c r="I15" i="1" s="1"/>
  <c r="J14" i="1" s="1"/>
  <c r="K13" i="1" s="1"/>
  <c r="L12" i="1" s="1"/>
  <c r="M11" i="1" s="1"/>
  <c r="N10" i="1" s="1"/>
  <c r="O9" i="1" s="1"/>
  <c r="P8" i="1" s="1"/>
  <c r="Q7" i="1" s="1"/>
  <c r="R6" i="1" s="1"/>
  <c r="S5" i="1" s="1"/>
  <c r="T4" i="1" s="1"/>
  <c r="U3" i="1" s="1"/>
  <c r="F10" i="1"/>
  <c r="G9" i="1" s="1"/>
  <c r="H9" i="1" s="1"/>
  <c r="I8" i="1" s="1"/>
  <c r="J7" i="1" s="1"/>
  <c r="K6" i="1" s="1"/>
  <c r="L5" i="1" s="1"/>
  <c r="M4" i="1" s="1"/>
  <c r="N3" i="1" s="1"/>
  <c r="F18" i="1"/>
  <c r="G17" i="1" s="1"/>
  <c r="H17" i="1" s="1"/>
  <c r="I16" i="1" s="1"/>
  <c r="J15" i="1" s="1"/>
  <c r="K14" i="1" s="1"/>
  <c r="L13" i="1" s="1"/>
  <c r="M12" i="1" s="1"/>
  <c r="N11" i="1" s="1"/>
  <c r="O10" i="1" s="1"/>
  <c r="P9" i="1" s="1"/>
  <c r="Q8" i="1" s="1"/>
  <c r="R7" i="1" s="1"/>
  <c r="S6" i="1" s="1"/>
  <c r="T5" i="1" s="1"/>
  <c r="U4" i="1" s="1"/>
  <c r="V3" i="1" s="1"/>
  <c r="P19" i="2"/>
  <c r="A34" i="2" a="1"/>
  <c r="A34" i="2" s="1"/>
  <c r="B24" i="4" s="1"/>
  <c r="B19" i="2"/>
  <c r="T19" i="2"/>
  <c r="L19" i="2"/>
  <c r="U25" i="2"/>
  <c r="H19" i="2"/>
  <c r="Q25" i="2"/>
  <c r="D19" i="2"/>
  <c r="M25" i="2"/>
  <c r="I25" i="2"/>
  <c r="E25" i="2"/>
  <c r="G19" i="2"/>
  <c r="D25" i="2"/>
  <c r="R25" i="2"/>
  <c r="J25" i="2"/>
  <c r="S19" i="2"/>
  <c r="K19" i="2"/>
  <c r="C19" i="2"/>
  <c r="B25" i="2"/>
  <c r="O25" i="2"/>
  <c r="V25" i="2"/>
  <c r="N25" i="2"/>
  <c r="F25" i="2"/>
  <c r="C18" i="2"/>
  <c r="G6" i="1" l="1"/>
  <c r="H6" i="1" s="1"/>
  <c r="I5" i="1" s="1"/>
  <c r="J4" i="1" s="1"/>
  <c r="K3" i="1" s="1"/>
  <c r="F35" i="1"/>
  <c r="G3" i="1"/>
  <c r="H3" i="1" s="1"/>
  <c r="G18" i="2" s="1"/>
  <c r="G20" i="2" s="1"/>
  <c r="F32" i="1"/>
  <c r="H18" i="2"/>
  <c r="H20" i="2" s="1"/>
  <c r="H27" i="2" s="1"/>
  <c r="I20" i="1"/>
  <c r="J19" i="1" s="1"/>
  <c r="J18" i="1"/>
  <c r="K17" i="1" s="1"/>
  <c r="L16" i="1" s="1"/>
  <c r="M15" i="1" s="1"/>
  <c r="N14" i="1" s="1"/>
  <c r="O13" i="1" s="1"/>
  <c r="P12" i="1" s="1"/>
  <c r="Q11" i="1" s="1"/>
  <c r="R10" i="1" s="1"/>
  <c r="S9" i="1" s="1"/>
  <c r="T8" i="1" s="1"/>
  <c r="U7" i="1" s="1"/>
  <c r="V6" i="1" s="1"/>
  <c r="W5" i="1" s="1"/>
  <c r="H19" i="1"/>
  <c r="I18" i="1" s="1"/>
  <c r="J17" i="1" s="1"/>
  <c r="K16" i="1" s="1"/>
  <c r="L15" i="1" s="1"/>
  <c r="M14" i="1" s="1"/>
  <c r="N13" i="1" s="1"/>
  <c r="O12" i="1" s="1"/>
  <c r="P11" i="1" s="1"/>
  <c r="Q10" i="1" s="1"/>
  <c r="R9" i="1" s="1"/>
  <c r="S8" i="1" s="1"/>
  <c r="T7" i="1" s="1"/>
  <c r="U6" i="1" s="1"/>
  <c r="V5" i="1" s="1"/>
  <c r="W4" i="1" s="1"/>
  <c r="E18" i="2"/>
  <c r="W19" i="2"/>
  <c r="C51" i="2"/>
  <c r="D41" i="4" s="1"/>
  <c r="C49" i="2"/>
  <c r="D39" i="4" s="1"/>
  <c r="C52" i="2"/>
  <c r="D42" i="4" s="1"/>
  <c r="C48" i="2"/>
  <c r="D38" i="4" s="1"/>
  <c r="C50" i="2"/>
  <c r="D40" i="4" s="1"/>
  <c r="C43" i="2"/>
  <c r="C44" i="2"/>
  <c r="D34" i="4" s="1"/>
  <c r="C42" i="2"/>
  <c r="D32" i="4" s="1"/>
  <c r="C53" i="2"/>
  <c r="D43" i="4" s="1"/>
  <c r="C45" i="2"/>
  <c r="D35" i="4" s="1"/>
  <c r="C47" i="2"/>
  <c r="D37" i="4" s="1"/>
  <c r="B34" i="2"/>
  <c r="C24" i="4" s="1"/>
  <c r="C46" i="2"/>
  <c r="D36" i="4" s="1"/>
  <c r="C54" i="2"/>
  <c r="D44" i="4" s="1"/>
  <c r="C41" i="2"/>
  <c r="D31" i="4" s="1"/>
  <c r="B36" i="2"/>
  <c r="C26" i="4" s="1"/>
  <c r="C35" i="2"/>
  <c r="C39" i="2"/>
  <c r="D29" i="4" s="1"/>
  <c r="D20" i="2"/>
  <c r="D27" i="2" s="1"/>
  <c r="C40" i="2"/>
  <c r="D30" i="4" s="1"/>
  <c r="C36" i="2"/>
  <c r="D26" i="4" s="1"/>
  <c r="B35" i="2"/>
  <c r="B20" i="2"/>
  <c r="B26" i="2" s="1"/>
  <c r="C34" i="2"/>
  <c r="D24" i="4" s="1"/>
  <c r="C38" i="2"/>
  <c r="D28" i="4" s="1"/>
  <c r="C20" i="2"/>
  <c r="F18" i="2" l="1"/>
  <c r="F20" i="2" s="1"/>
  <c r="F27" i="2" s="1"/>
  <c r="E19" i="2"/>
  <c r="C37" i="2" s="1"/>
  <c r="D27" i="4" s="1"/>
  <c r="C25" i="4"/>
  <c r="F35" i="2"/>
  <c r="D25" i="4"/>
  <c r="G35" i="2"/>
  <c r="B40" i="2"/>
  <c r="D33" i="4"/>
  <c r="J20" i="1"/>
  <c r="K18" i="1"/>
  <c r="L17" i="1" s="1"/>
  <c r="M16" i="1" s="1"/>
  <c r="B37" i="2"/>
  <c r="B39" i="2"/>
  <c r="E24" i="4"/>
  <c r="E26" i="4"/>
  <c r="D26" i="2"/>
  <c r="B27" i="2"/>
  <c r="H26" i="2"/>
  <c r="G26" i="2"/>
  <c r="G27" i="2"/>
  <c r="C27" i="2"/>
  <c r="C26" i="2"/>
  <c r="B38" i="2" l="1"/>
  <c r="C28" i="4" s="1"/>
  <c r="E28" i="4" s="1"/>
  <c r="F26" i="2"/>
  <c r="G36" i="2"/>
  <c r="G37" i="2" s="1"/>
  <c r="G38" i="2" s="1"/>
  <c r="G39" i="2" s="1"/>
  <c r="G40" i="2" s="1"/>
  <c r="G41" i="2" s="1"/>
  <c r="G42" i="2" s="1"/>
  <c r="G43" i="2" s="1"/>
  <c r="G44" i="2" s="1"/>
  <c r="G45" i="2" s="1"/>
  <c r="G46" i="2" s="1"/>
  <c r="G47" i="2" s="1"/>
  <c r="G48" i="2" s="1"/>
  <c r="G49" i="2" s="1"/>
  <c r="G50" i="2" s="1"/>
  <c r="G51" i="2" s="1"/>
  <c r="E20" i="2"/>
  <c r="E26" i="2" s="1"/>
  <c r="K19" i="1"/>
  <c r="L18" i="1" s="1"/>
  <c r="M17" i="1" s="1"/>
  <c r="N16" i="1" s="1"/>
  <c r="I18" i="2"/>
  <c r="C30" i="4"/>
  <c r="E30" i="4" s="1"/>
  <c r="C27" i="4"/>
  <c r="E27" i="4" s="1"/>
  <c r="C29" i="4"/>
  <c r="E29" i="4" s="1"/>
  <c r="E25" i="4"/>
  <c r="N15" i="1"/>
  <c r="O14" i="1" s="1"/>
  <c r="P13" i="1" s="1"/>
  <c r="Q12" i="1" s="1"/>
  <c r="R11" i="1" s="1"/>
  <c r="S10" i="1" s="1"/>
  <c r="T9" i="1" s="1"/>
  <c r="U8" i="1" s="1"/>
  <c r="V7" i="1" s="1"/>
  <c r="W6" i="1" s="1"/>
  <c r="F36" i="2" l="1"/>
  <c r="F37" i="2" s="1"/>
  <c r="E27" i="2"/>
  <c r="K20" i="1"/>
  <c r="L19" i="1" s="1"/>
  <c r="M18" i="1" s="1"/>
  <c r="N17" i="1" s="1"/>
  <c r="O16" i="1" s="1"/>
  <c r="J18" i="2"/>
  <c r="I20" i="2"/>
  <c r="B41" i="2"/>
  <c r="C31" i="4" s="1"/>
  <c r="E31" i="4" s="1"/>
  <c r="O15" i="1"/>
  <c r="P14" i="1" s="1"/>
  <c r="Q13" i="1" s="1"/>
  <c r="R12" i="1" s="1"/>
  <c r="S11" i="1" s="1"/>
  <c r="T10" i="1" s="1"/>
  <c r="U9" i="1" s="1"/>
  <c r="V8" i="1" s="1"/>
  <c r="W7" i="1" s="1"/>
  <c r="L20" i="1" l="1"/>
  <c r="M19" i="1" s="1"/>
  <c r="N18" i="1" s="1"/>
  <c r="O17" i="1" s="1"/>
  <c r="P16" i="1" s="1"/>
  <c r="J20" i="2"/>
  <c r="B42" i="2"/>
  <c r="C32" i="4" s="1"/>
  <c r="E32" i="4" s="1"/>
  <c r="K18" i="2"/>
  <c r="I27" i="2"/>
  <c r="I26" i="2"/>
  <c r="F38" i="2"/>
  <c r="P15" i="1"/>
  <c r="Q14" i="1" s="1"/>
  <c r="R13" i="1" s="1"/>
  <c r="S12" i="1" s="1"/>
  <c r="T11" i="1" s="1"/>
  <c r="U10" i="1" s="1"/>
  <c r="V9" i="1" s="1"/>
  <c r="W8" i="1" s="1"/>
  <c r="M20" i="1" l="1"/>
  <c r="N19" i="1" s="1"/>
  <c r="N20" i="1" s="1"/>
  <c r="F39" i="2"/>
  <c r="L18" i="2"/>
  <c r="B43" i="2"/>
  <c r="C33" i="4" s="1"/>
  <c r="E33" i="4" s="1"/>
  <c r="K20" i="2"/>
  <c r="J26" i="2"/>
  <c r="J27" i="2"/>
  <c r="Q15" i="1"/>
  <c r="R14" i="1" s="1"/>
  <c r="S13" i="1" s="1"/>
  <c r="T12" i="1" s="1"/>
  <c r="U11" i="1" s="1"/>
  <c r="V10" i="1" s="1"/>
  <c r="W9" i="1" s="1"/>
  <c r="O18" i="1" l="1"/>
  <c r="P17" i="1" s="1"/>
  <c r="Q16" i="1" s="1"/>
  <c r="R15" i="1" s="1"/>
  <c r="S14" i="1" s="1"/>
  <c r="T13" i="1" s="1"/>
  <c r="U12" i="1" s="1"/>
  <c r="V11" i="1" s="1"/>
  <c r="W10" i="1" s="1"/>
  <c r="O19" i="1"/>
  <c r="P18" i="1" s="1"/>
  <c r="Q17" i="1" s="1"/>
  <c r="R16" i="1" s="1"/>
  <c r="M18" i="2"/>
  <c r="K27" i="2"/>
  <c r="K26" i="2"/>
  <c r="F40" i="2"/>
  <c r="L20" i="2"/>
  <c r="B44" i="2"/>
  <c r="C34" i="4" s="1"/>
  <c r="E34" i="4" s="1"/>
  <c r="O20" i="1" l="1"/>
  <c r="P19" i="1" s="1"/>
  <c r="P20" i="1" s="1"/>
  <c r="N18" i="2"/>
  <c r="L27" i="2"/>
  <c r="L26" i="2"/>
  <c r="F41" i="2"/>
  <c r="B45" i="2"/>
  <c r="C35" i="4" s="1"/>
  <c r="E35" i="4" s="1"/>
  <c r="M20" i="2"/>
  <c r="S15" i="1"/>
  <c r="T14" i="1" s="1"/>
  <c r="U13" i="1" s="1"/>
  <c r="V12" i="1" s="1"/>
  <c r="W11" i="1" s="1"/>
  <c r="Q18" i="1" l="1"/>
  <c r="R17" i="1" s="1"/>
  <c r="S16" i="1" s="1"/>
  <c r="T15" i="1" s="1"/>
  <c r="U14" i="1" s="1"/>
  <c r="V13" i="1" s="1"/>
  <c r="W12" i="1" s="1"/>
  <c r="M26" i="2"/>
  <c r="M27" i="2"/>
  <c r="F42" i="2"/>
  <c r="Q19" i="1"/>
  <c r="R18" i="1" s="1"/>
  <c r="S17" i="1" s="1"/>
  <c r="T16" i="1" s="1"/>
  <c r="O18" i="2"/>
  <c r="N20" i="2"/>
  <c r="B46" i="2"/>
  <c r="C36" i="4" s="1"/>
  <c r="E36" i="4" s="1"/>
  <c r="Q20" i="1" l="1"/>
  <c r="R19" i="1" s="1"/>
  <c r="N26" i="2"/>
  <c r="N27" i="2"/>
  <c r="O20" i="2"/>
  <c r="B47" i="2"/>
  <c r="C37" i="4" s="1"/>
  <c r="E37" i="4" s="1"/>
  <c r="F43" i="2"/>
  <c r="P18" i="2"/>
  <c r="U15" i="1"/>
  <c r="V14" i="1" s="1"/>
  <c r="W13" i="1" s="1"/>
  <c r="R20" i="1" l="1"/>
  <c r="S19" i="1" s="1"/>
  <c r="T18" i="1" s="1"/>
  <c r="U17" i="1" s="1"/>
  <c r="V16" i="1" s="1"/>
  <c r="S18" i="1"/>
  <c r="T17" i="1" s="1"/>
  <c r="U16" i="1" s="1"/>
  <c r="V15" i="1" s="1"/>
  <c r="W14" i="1" s="1"/>
  <c r="P20" i="2"/>
  <c r="B48" i="2"/>
  <c r="C38" i="4" s="1"/>
  <c r="E38" i="4" s="1"/>
  <c r="Q18" i="2"/>
  <c r="F44" i="2"/>
  <c r="O26" i="2"/>
  <c r="O27" i="2"/>
  <c r="S20" i="1" l="1"/>
  <c r="T19" i="1" s="1"/>
  <c r="F45" i="2"/>
  <c r="R18" i="2"/>
  <c r="Q20" i="2"/>
  <c r="B49" i="2"/>
  <c r="C39" i="4" s="1"/>
  <c r="E39" i="4" s="1"/>
  <c r="P26" i="2"/>
  <c r="P27" i="2"/>
  <c r="W15" i="1"/>
  <c r="U18" i="1" l="1"/>
  <c r="V17" i="1" s="1"/>
  <c r="W16" i="1" s="1"/>
  <c r="T20" i="1"/>
  <c r="U19" i="1" s="1"/>
  <c r="V18" i="1" s="1"/>
  <c r="W17" i="1" s="1"/>
  <c r="F46" i="2"/>
  <c r="Q26" i="2"/>
  <c r="Q27" i="2"/>
  <c r="S18" i="2"/>
  <c r="R20" i="2"/>
  <c r="B50" i="2"/>
  <c r="C40" i="4" s="1"/>
  <c r="E40" i="4" s="1"/>
  <c r="U20" i="1" l="1"/>
  <c r="V19" i="1" s="1"/>
  <c r="W18" i="1" s="1"/>
  <c r="B51" i="2"/>
  <c r="C41" i="4" s="1"/>
  <c r="E41" i="4" s="1"/>
  <c r="S20" i="2"/>
  <c r="F47" i="2"/>
  <c r="R27" i="2"/>
  <c r="R26" i="2"/>
  <c r="T18" i="2"/>
  <c r="T20" i="2" l="1"/>
  <c r="B52" i="2"/>
  <c r="C42" i="4" s="1"/>
  <c r="E42" i="4" s="1"/>
  <c r="V20" i="1"/>
  <c r="F48" i="2"/>
  <c r="S27" i="2"/>
  <c r="S26" i="2"/>
  <c r="F49" i="2" l="1"/>
  <c r="W19" i="1"/>
  <c r="W20" i="1" s="1"/>
  <c r="V18" i="2" s="1"/>
  <c r="U18" i="2"/>
  <c r="T27" i="2"/>
  <c r="T26" i="2"/>
  <c r="B54" i="2" l="1"/>
  <c r="C44" i="4" s="1"/>
  <c r="E44" i="4" s="1"/>
  <c r="V20" i="2"/>
  <c r="U20" i="2"/>
  <c r="B53" i="2"/>
  <c r="C43" i="4" s="1"/>
  <c r="E43" i="4" s="1"/>
  <c r="W18" i="2"/>
  <c r="W20" i="2" s="1"/>
  <c r="C6" i="2" s="1"/>
  <c r="F50" i="2" l="1"/>
  <c r="F51" i="2" s="1"/>
  <c r="U26" i="2"/>
  <c r="U27" i="2"/>
  <c r="V26" i="2"/>
  <c r="V2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<sst xmlns="http://schemas.openxmlformats.org/spreadsheetml/2006/main" count="128" uniqueCount="56">
  <si>
    <t>Starting Year of Experience</t>
  </si>
  <si>
    <t>24/25</t>
  </si>
  <si>
    <t>25/26</t>
  </si>
  <si>
    <t>26/27</t>
  </si>
  <si>
    <t>27/28</t>
  </si>
  <si>
    <t>28/29</t>
  </si>
  <si>
    <t>29/30</t>
  </si>
  <si>
    <t>30/31</t>
  </si>
  <si>
    <t>31/32</t>
  </si>
  <si>
    <t>32/33</t>
  </si>
  <si>
    <t>33/34</t>
  </si>
  <si>
    <t>34/35</t>
  </si>
  <si>
    <t>35/36</t>
  </si>
  <si>
    <t>36/37</t>
  </si>
  <si>
    <t>37/38</t>
  </si>
  <si>
    <t>Analysis Table</t>
  </si>
  <si>
    <t>YrExp</t>
  </si>
  <si>
    <t>Percentage Applied</t>
  </si>
  <si>
    <t>PerApplied</t>
  </si>
  <si>
    <t>Difference</t>
  </si>
  <si>
    <t>Difference Graph</t>
  </si>
  <si>
    <t xml:space="preserve">Positive </t>
  </si>
  <si>
    <t>Negative</t>
  </si>
  <si>
    <t>Output</t>
  </si>
  <si>
    <t>Input</t>
  </si>
  <si>
    <t>Basic Salary on 31 March 2021</t>
  </si>
  <si>
    <t xml:space="preserve">Basic Salary from 1 April each year </t>
  </si>
  <si>
    <t>Basic Salary from individual pay progression date (incremental date)</t>
  </si>
  <si>
    <t>2008 Contract</t>
  </si>
  <si>
    <t>2021 Contract</t>
  </si>
  <si>
    <t>21/22
Wage Award</t>
  </si>
  <si>
    <t>22/23
Wage Award</t>
  </si>
  <si>
    <t>23/24
Wage Award</t>
  </si>
  <si>
    <t>21/22
Increment</t>
  </si>
  <si>
    <t>22/23
Increment</t>
  </si>
  <si>
    <t>23/24
Increment</t>
  </si>
  <si>
    <t>Salary 31 Mar 21</t>
  </si>
  <si>
    <t>21/22 Wage Award</t>
  </si>
  <si>
    <t>22/23 Wage Award</t>
  </si>
  <si>
    <t>23/24 Wage Award</t>
  </si>
  <si>
    <t>17 Year Increment Total</t>
  </si>
  <si>
    <t>Net Difference (Incremental)</t>
  </si>
  <si>
    <t xml:space="preserve">2021/22 WA </t>
  </si>
  <si>
    <t>21/22</t>
  </si>
  <si>
    <t>22/23</t>
  </si>
  <si>
    <t>23/24</t>
  </si>
  <si>
    <t>2008 Contract (1%)</t>
  </si>
  <si>
    <t>2008 Contract (2%)</t>
  </si>
  <si>
    <t>Year</t>
  </si>
  <si>
    <t>21/22 Progression</t>
  </si>
  <si>
    <t>22/23 Progression</t>
  </si>
  <si>
    <t>23/24 Progression</t>
  </si>
  <si>
    <t>Based on your pay point</t>
  </si>
  <si>
    <t>Pay Point</t>
  </si>
  <si>
    <t>Journey through the pay points based on starting year of experience at 20/21 and progression on an annual basis.
Salaries include the agreed 3% wage award in 21/22 and the proposed new salaries for 22/23 &amp; 23/24 
(Salaries from 24/25 onwards are based on the salaries at 23/24)
N.B. Salaries for 21/22 &amp; 22/23 highlighted in yellow are based on the proposed salaries to ensure pay continuity as agreed in discussions</t>
  </si>
  <si>
    <t>SAS contract reform 2021 | NHS Confederation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</si>
</sst>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
    <numFmt numFmtId="165" formatCode="_-&quot;£&quot;* #,##0_-;\-&quot;£&quot;* #,##0_-;_-&quot;£&quot;* &quot;-&quot;??_-;_-@_-"/>
    <numFmt numFmtId="166" formatCode="&quot;£&quot;#,##0.0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rgb="FFC00000"/>
      <name val="Calibri"/>
      <family val="2"/>
      <scheme val="minor"/>
    </font>
    <font>
      <sz val="11"/>
      <name val="Calibri"/>
      <family val="2"/>
      <scheme val="minor"/>
    </font>
    <font>
      <b/>
      <sz val="11"/>
      <color theme="4"/>
      <name val="Calibri"/>
      <family val="2"/>
      <scheme val="minor"/>
    </font>
    <font>
      <sz val="8"/>
      <name val="Calibri"/>
      <family val="2"/>
      <scheme val="minor"/>
    </font>
    <font>
      <sz val="11"/>
      <color rgb="FF000000"/>
      <name val="Calibri"/>
      <family val="2"/>
      <scheme val="minor"/>
    </font>
    <font>
      <sz val="12"/>
      <color rgb="FF000000"/>
      <name val="Arial"/>
      <family val="2"/>
    </font>
    <font>
      <b/>
      <sz val="10"/>
      <color theme="1"/>
      <name val="Calibri"/>
      <family val="2"/>
      <scheme val="minor"/>
    </font>
    <font>
      <sz val="8"/>
      <color rgb="FF000000"/>
      <name val="Segoe UI"/>
      <family val="2"/>
    </font>
    <font>
      <b/>
      <sz val="11"/>
      <color indexed="8"/>
      <name val="Calibri"/>
      <family val="2"/>
      <scheme val="minor"/>
    </font>
    <font>
      <b/>
      <sz val="11"/>
      <color theme="0" tint="-0.249977111117893"/>
      <name val="Calibri"/>
      <family val="2"/>
      <scheme val="minor"/>
    </font>
    <font>
      <sz val="11"/>
      <color theme="0" tint="-0.249977111117893"/>
      <name val="Calibri"/>
      <family val="2"/>
      <scheme val="minor"/>
    </font>
    <font>
      <u/>
      <sz val="11"/>
      <color theme="1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5117038483843"/>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9933"/>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31">
    <xf numFmtId="0" fontId="0" fillId="0" borderId="0" xfId="0"/>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64" fontId="0" fillId="4" borderId="9" xfId="1" applyNumberFormat="1" applyFont="1" applyFill="1" applyBorder="1"/>
    <xf numFmtId="164" fontId="0" fillId="4" borderId="10" xfId="1" applyNumberFormat="1" applyFont="1" applyFill="1" applyBorder="1"/>
    <xf numFmtId="164" fontId="0" fillId="0" borderId="9" xfId="0" applyNumberFormat="1" applyBorder="1"/>
    <xf numFmtId="164" fontId="3" fillId="0" borderId="10" xfId="0" applyNumberFormat="1" applyFont="1" applyBorder="1"/>
    <xf numFmtId="164" fontId="0" fillId="5" borderId="11" xfId="1" applyNumberFormat="1" applyFont="1" applyFill="1" applyBorder="1"/>
    <xf numFmtId="164" fontId="0" fillId="5" borderId="12" xfId="1" applyNumberFormat="1" applyFont="1" applyFill="1" applyBorder="1"/>
    <xf numFmtId="164" fontId="0" fillId="0" borderId="12" xfId="0" applyNumberFormat="1" applyBorder="1"/>
    <xf numFmtId="164" fontId="3" fillId="0" borderId="12" xfId="0" applyNumberFormat="1" applyFont="1" applyBorder="1"/>
    <xf numFmtId="164" fontId="4" fillId="6" borderId="13" xfId="0" applyNumberFormat="1" applyFont="1" applyFill="1" applyBorder="1"/>
    <xf numFmtId="164" fontId="0" fillId="7" borderId="11" xfId="1" applyNumberFormat="1" applyFont="1" applyFill="1" applyBorder="1"/>
    <xf numFmtId="164" fontId="0" fillId="7" borderId="12" xfId="1" applyNumberFormat="1" applyFont="1" applyFill="1" applyBorder="1"/>
    <xf numFmtId="164" fontId="4" fillId="6" borderId="12" xfId="0" applyNumberFormat="1" applyFont="1" applyFill="1" applyBorder="1"/>
    <xf numFmtId="164" fontId="0" fillId="8" borderId="11" xfId="1" applyNumberFormat="1" applyFont="1" applyFill="1" applyBorder="1"/>
    <xf numFmtId="164" fontId="0" fillId="8" borderId="12" xfId="1" applyNumberFormat="1" applyFont="1" applyFill="1" applyBorder="1"/>
    <xf numFmtId="164" fontId="0" fillId="6" borderId="12" xfId="0" applyNumberFormat="1" applyFill="1" applyBorder="1"/>
    <xf numFmtId="164" fontId="0" fillId="6" borderId="13" xfId="0" applyNumberFormat="1" applyFill="1" applyBorder="1"/>
    <xf numFmtId="164" fontId="0" fillId="6" borderId="11" xfId="0" applyNumberFormat="1" applyFill="1" applyBorder="1"/>
    <xf numFmtId="164" fontId="0" fillId="4" borderId="11" xfId="1" applyNumberFormat="1" applyFont="1" applyFill="1" applyBorder="1"/>
    <xf numFmtId="164" fontId="0" fillId="4" borderId="12" xfId="1" applyNumberFormat="1" applyFont="1" applyFill="1" applyBorder="1"/>
    <xf numFmtId="164" fontId="0" fillId="7" borderId="15" xfId="1" applyNumberFormat="1" applyFont="1" applyFill="1" applyBorder="1"/>
    <xf numFmtId="164" fontId="0" fillId="7" borderId="16" xfId="1" applyNumberFormat="1" applyFont="1" applyFill="1" applyBorder="1"/>
    <xf numFmtId="164" fontId="0" fillId="6" borderId="16" xfId="0" applyNumberFormat="1" applyFill="1" applyBorder="1"/>
    <xf numFmtId="164" fontId="0" fillId="6" borderId="17" xfId="0" applyNumberFormat="1" applyFill="1" applyBorder="1"/>
    <xf numFmtId="164" fontId="4" fillId="0" borderId="9" xfId="0" applyNumberFormat="1" applyFont="1" applyBorder="1"/>
    <xf numFmtId="164" fontId="5" fillId="0" borderId="9" xfId="0" applyNumberFormat="1" applyFont="1" applyBorder="1"/>
    <xf numFmtId="164" fontId="4" fillId="6" borderId="9" xfId="0" applyNumberFormat="1" applyFont="1" applyFill="1" applyBorder="1"/>
    <xf numFmtId="164" fontId="4" fillId="6" borderId="10" xfId="0" applyNumberFormat="1" applyFont="1" applyFill="1" applyBorder="1"/>
    <xf numFmtId="164" fontId="4" fillId="0" borderId="12" xfId="0" applyNumberFormat="1" applyFont="1" applyBorder="1"/>
    <xf numFmtId="164" fontId="5" fillId="0" borderId="12" xfId="0" applyNumberFormat="1" applyFont="1" applyBorder="1"/>
    <xf numFmtId="164" fontId="4" fillId="6" borderId="19" xfId="0" applyNumberFormat="1" applyFont="1" applyFill="1" applyBorder="1"/>
    <xf numFmtId="164" fontId="4" fillId="6" borderId="18" xfId="0" applyNumberFormat="1" applyFont="1" applyFill="1" applyBorder="1"/>
    <xf numFmtId="164" fontId="4" fillId="6" borderId="20" xfId="0" applyNumberFormat="1" applyFont="1" applyFill="1" applyBorder="1"/>
    <xf numFmtId="165" fontId="0" fillId="0" borderId="0" xfId="0" applyNumberFormat="1"/>
    <xf numFmtId="164" fontId="0" fillId="4" borderId="21" xfId="1" applyNumberFormat="1" applyFont="1" applyFill="1" applyBorder="1"/>
    <xf numFmtId="164" fontId="0" fillId="5" borderId="22" xfId="1" applyNumberFormat="1" applyFont="1" applyFill="1" applyBorder="1"/>
    <xf numFmtId="164" fontId="0" fillId="7" borderId="22" xfId="1" applyNumberFormat="1" applyFont="1" applyFill="1" applyBorder="1"/>
    <xf numFmtId="164" fontId="0" fillId="8" borderId="22" xfId="1" applyNumberFormat="1" applyFont="1" applyFill="1" applyBorder="1"/>
    <xf numFmtId="164" fontId="0" fillId="6" borderId="22" xfId="0" applyNumberFormat="1" applyFill="1" applyBorder="1"/>
    <xf numFmtId="164" fontId="0" fillId="4" borderId="22" xfId="1" applyNumberFormat="1" applyFont="1" applyFill="1" applyBorder="1"/>
    <xf numFmtId="164" fontId="4" fillId="6" borderId="22" xfId="0" applyNumberFormat="1" applyFont="1" applyFill="1" applyBorder="1"/>
    <xf numFmtId="164" fontId="4" fillId="4" borderId="22" xfId="1" applyNumberFormat="1" applyFont="1" applyFill="1" applyBorder="1"/>
    <xf numFmtId="164" fontId="4" fillId="5" borderId="22" xfId="1" applyNumberFormat="1" applyFont="1" applyFill="1" applyBorder="1"/>
    <xf numFmtId="0" fontId="0" fillId="0" borderId="12" xfId="0" applyBorder="1"/>
    <xf numFmtId="165" fontId="0" fillId="0" borderId="12" xfId="0" applyNumberFormat="1" applyBorder="1"/>
    <xf numFmtId="0" fontId="2" fillId="9" borderId="12" xfId="0" applyFont="1" applyFill="1" applyBorder="1" applyAlignment="1">
      <alignment horizontal="center" vertical="center" wrapText="1"/>
    </xf>
    <xf numFmtId="0" fontId="0" fillId="0" borderId="12" xfId="0" applyFill="1" applyBorder="1"/>
    <xf numFmtId="165" fontId="0" fillId="10" borderId="12" xfId="0" applyNumberFormat="1" applyFill="1" applyBorder="1"/>
    <xf numFmtId="165" fontId="0" fillId="11" borderId="12" xfId="0" applyNumberFormat="1" applyFill="1" applyBorder="1"/>
    <xf numFmtId="0" fontId="7" fillId="0" borderId="0" xfId="0" applyFont="1" applyAlignment="1">
      <alignment vertical="center"/>
    </xf>
    <xf numFmtId="0" fontId="2" fillId="12" borderId="12" xfId="0" applyFont="1" applyFill="1" applyBorder="1"/>
    <xf numFmtId="0" fontId="2" fillId="12" borderId="12" xfId="0" applyFont="1" applyFill="1" applyBorder="1" applyAlignment="1">
      <alignment horizontal="center" vertical="center" wrapText="1"/>
    </xf>
    <xf numFmtId="0" fontId="8" fillId="0" borderId="0" xfId="0" applyFont="1" applyAlignment="1">
      <alignment horizontal="left" vertical="top" readingOrder="1"/>
    </xf>
    <xf numFmtId="0" fontId="0" fillId="0" borderId="0" xfId="0" applyAlignment="1">
      <alignment horizontal="left" vertical="top"/>
    </xf>
    <xf numFmtId="0" fontId="9" fillId="1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6" xfId="0" applyFont="1" applyFill="1" applyBorder="1" applyAlignment="1">
      <alignment horizontal="center" vertical="center" wrapText="1"/>
    </xf>
    <xf numFmtId="165" fontId="0" fillId="13" borderId="12" xfId="0" applyNumberFormat="1" applyFill="1" applyBorder="1"/>
    <xf numFmtId="166" fontId="0" fillId="0" borderId="0" xfId="0" applyNumberFormat="1"/>
    <xf numFmtId="0" fontId="2" fillId="9" borderId="22" xfId="0" applyFont="1" applyFill="1" applyBorder="1" applyAlignment="1">
      <alignment horizontal="center" vertical="center" wrapText="1"/>
    </xf>
    <xf numFmtId="0" fontId="0" fillId="0" borderId="22" xfId="0" applyBorder="1"/>
    <xf numFmtId="0" fontId="0" fillId="0" borderId="20" xfId="0" applyBorder="1"/>
    <xf numFmtId="9" fontId="0" fillId="0" borderId="12" xfId="0" applyNumberFormat="1" applyBorder="1"/>
    <xf numFmtId="0" fontId="11" fillId="9" borderId="12" xfId="0" applyFont="1" applyFill="1" applyBorder="1" applyAlignment="1">
      <alignment horizontal="center" vertical="center" wrapText="1"/>
    </xf>
    <xf numFmtId="10" fontId="0" fillId="0" borderId="0" xfId="2" applyNumberFormat="1" applyFont="1"/>
    <xf numFmtId="164" fontId="4" fillId="7" borderId="23" xfId="1" applyNumberFormat="1" applyFont="1" applyFill="1" applyBorder="1"/>
    <xf numFmtId="164" fontId="0" fillId="0" borderId="8" xfId="0" applyNumberFormat="1" applyBorder="1"/>
    <xf numFmtId="164" fontId="0" fillId="0" borderId="11" xfId="0" applyNumberFormat="1" applyBorder="1"/>
    <xf numFmtId="164" fontId="0" fillId="6" borderId="15" xfId="0" applyNumberFormat="1" applyFill="1" applyBorder="1"/>
    <xf numFmtId="164" fontId="3" fillId="0" borderId="11" xfId="0" applyNumberFormat="1" applyFont="1" applyBorder="1"/>
    <xf numFmtId="164" fontId="4" fillId="4" borderId="12" xfId="1" applyNumberFormat="1" applyFont="1" applyFill="1" applyBorder="1"/>
    <xf numFmtId="164" fontId="4" fillId="5" borderId="12" xfId="1" applyNumberFormat="1" applyFont="1" applyFill="1" applyBorder="1"/>
    <xf numFmtId="164" fontId="4" fillId="7" borderId="12" xfId="1" applyNumberFormat="1" applyFont="1" applyFill="1" applyBorder="1"/>
    <xf numFmtId="164" fontId="4" fillId="8" borderId="12" xfId="1" applyNumberFormat="1" applyFont="1" applyFill="1" applyBorder="1"/>
    <xf numFmtId="164" fontId="4" fillId="7" borderId="16" xfId="1" applyNumberFormat="1" applyFont="1" applyFill="1" applyBorder="1"/>
    <xf numFmtId="164" fontId="4" fillId="5" borderId="13" xfId="1" applyNumberFormat="1" applyFont="1" applyFill="1" applyBorder="1"/>
    <xf numFmtId="164" fontId="4" fillId="7" borderId="17" xfId="1" applyNumberFormat="1" applyFont="1" applyFill="1" applyBorder="1"/>
    <xf numFmtId="1" fontId="0" fillId="0" borderId="12" xfId="0" applyNumberFormat="1" applyBorder="1"/>
    <xf numFmtId="0" fontId="2" fillId="2" borderId="12" xfId="0" applyFont="1" applyFill="1" applyBorder="1" applyAlignment="1">
      <alignment horizontal="center" vertical="center"/>
    </xf>
    <xf numFmtId="167" fontId="0" fillId="0" borderId="12" xfId="0" applyNumberFormat="1" applyBorder="1"/>
    <xf numFmtId="44" fontId="0" fillId="0" borderId="0" xfId="0" applyNumberFormat="1"/>
    <xf numFmtId="0" fontId="0" fillId="0" borderId="12" xfId="0" applyBorder="1" applyAlignment="1">
      <alignment horizontal="center"/>
    </xf>
    <xf numFmtId="164" fontId="0" fillId="5" borderId="18" xfId="1" applyNumberFormat="1" applyFont="1" applyFill="1" applyBorder="1"/>
    <xf numFmtId="164" fontId="0" fillId="7" borderId="28" xfId="1" applyNumberFormat="1" applyFont="1" applyFill="1" applyBorder="1"/>
    <xf numFmtId="164" fontId="0" fillId="4" borderId="29" xfId="1" applyNumberFormat="1" applyFont="1" applyFill="1" applyBorder="1"/>
    <xf numFmtId="164" fontId="0" fillId="7" borderId="18" xfId="1" applyNumberFormat="1" applyFont="1" applyFill="1" applyBorder="1"/>
    <xf numFmtId="164" fontId="0" fillId="8" borderId="18" xfId="1" applyNumberFormat="1" applyFont="1" applyFill="1" applyBorder="1"/>
    <xf numFmtId="164" fontId="0" fillId="6" borderId="18" xfId="0" applyNumberFormat="1" applyFill="1" applyBorder="1"/>
    <xf numFmtId="164" fontId="0" fillId="4" borderId="18" xfId="1" applyNumberFormat="1" applyFont="1" applyFill="1" applyBorder="1"/>
    <xf numFmtId="0" fontId="0" fillId="3" borderId="30" xfId="0" applyFill="1" applyBorder="1"/>
    <xf numFmtId="0" fontId="0" fillId="3" borderId="31" xfId="0" applyFill="1" applyBorder="1"/>
    <xf numFmtId="0" fontId="0" fillId="3" borderId="32" xfId="0" applyFill="1" applyBorder="1"/>
    <xf numFmtId="0" fontId="12" fillId="2" borderId="1" xfId="0" applyFont="1" applyFill="1" applyBorder="1" applyAlignment="1">
      <alignment horizontal="center" vertical="center" wrapText="1"/>
    </xf>
    <xf numFmtId="0" fontId="13" fillId="0" borderId="0" xfId="0" applyFont="1"/>
    <xf numFmtId="0" fontId="13" fillId="3" borderId="7" xfId="0" applyFont="1" applyFill="1" applyBorder="1"/>
    <xf numFmtId="0" fontId="13" fillId="3" borderId="14" xfId="0" applyFont="1" applyFill="1" applyBorder="1"/>
    <xf numFmtId="164" fontId="2" fillId="14" borderId="8" xfId="1" applyNumberFormat="1" applyFont="1" applyFill="1" applyBorder="1"/>
    <xf numFmtId="164" fontId="2" fillId="14" borderId="12" xfId="1" applyNumberFormat="1" applyFont="1" applyFill="1" applyBorder="1"/>
    <xf numFmtId="164" fontId="2" fillId="14" borderId="11" xfId="1" applyNumberFormat="1" applyFont="1" applyFill="1" applyBorder="1"/>
    <xf numFmtId="164" fontId="2" fillId="14" borderId="12" xfId="0" applyNumberFormat="1" applyFont="1" applyFill="1" applyBorder="1"/>
    <xf numFmtId="164" fontId="4" fillId="4" borderId="18" xfId="1" applyNumberFormat="1" applyFont="1" applyFill="1" applyBorder="1"/>
    <xf numFmtId="164" fontId="4" fillId="5" borderId="18" xfId="1" applyNumberFormat="1" applyFont="1" applyFill="1" applyBorder="1"/>
    <xf numFmtId="164" fontId="4" fillId="7" borderId="18" xfId="1" applyNumberFormat="1" applyFont="1" applyFill="1" applyBorder="1"/>
    <xf numFmtId="164" fontId="4" fillId="8" borderId="18" xfId="1" applyNumberFormat="1" applyFont="1" applyFill="1" applyBorder="1"/>
    <xf numFmtId="164" fontId="4" fillId="7" borderId="28" xfId="1" applyNumberFormat="1" applyFont="1" applyFill="1" applyBorder="1"/>
    <xf numFmtId="0" fontId="2" fillId="2" borderId="33" xfId="0" applyFont="1" applyFill="1" applyBorder="1" applyAlignment="1">
      <alignment horizontal="center" vertical="center" wrapText="1"/>
    </xf>
    <xf numFmtId="0" fontId="13" fillId="3" borderId="33" xfId="0" applyFont="1" applyFill="1" applyBorder="1"/>
    <xf numFmtId="164" fontId="0" fillId="4" borderId="34" xfId="1" applyNumberFormat="1" applyFont="1" applyFill="1" applyBorder="1"/>
    <xf numFmtId="164" fontId="0" fillId="5" borderId="35" xfId="1" applyNumberFormat="1" applyFont="1" applyFill="1" applyBorder="1"/>
    <xf numFmtId="164" fontId="0" fillId="7" borderId="35" xfId="1" applyNumberFormat="1" applyFont="1" applyFill="1" applyBorder="1"/>
    <xf numFmtId="164" fontId="0" fillId="8" borderId="35" xfId="1" applyNumberFormat="1" applyFont="1" applyFill="1" applyBorder="1"/>
    <xf numFmtId="164" fontId="0" fillId="6" borderId="35" xfId="0" applyNumberFormat="1" applyFill="1" applyBorder="1"/>
    <xf numFmtId="164" fontId="0" fillId="4" borderId="35" xfId="1" applyNumberFormat="1" applyFont="1" applyFill="1" applyBorder="1"/>
    <xf numFmtId="164" fontId="0" fillId="7" borderId="36" xfId="1" applyNumberFormat="1" applyFont="1" applyFill="1" applyBorder="1"/>
    <xf numFmtId="0" fontId="14" fillId="0" borderId="0" xfId="3"/>
    <xf numFmtId="0" fontId="2" fillId="12" borderId="12"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2" xfId="0" applyBorder="1" applyAlignment="1">
      <alignment horizontal="center" wrapText="1"/>
    </xf>
    <xf numFmtId="0" fontId="0" fillId="0" borderId="27" xfId="0" applyBorder="1" applyAlignment="1">
      <alignment horizontal="center" wrapText="1"/>
    </xf>
    <xf numFmtId="0" fontId="0" fillId="0" borderId="18" xfId="0" applyBorder="1" applyAlignment="1">
      <alignment horizontal="center" wrapText="1"/>
    </xf>
  </cellXfs>
  <cellStyles count="4">
    <cellStyle name="Comma" xfId="1" builtinId="3"/>
    <cellStyle name="Hyperlink" xfId="3" builtinId="8"/>
    <cellStyle name="Normal" xfId="0" builtinId="0"/>
    <cellStyle name="Percent" xfId="2" builtinId="5"/>
  </cellStyles>
  <dxfs count="5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FF9933"/>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920631930578"/>
          <c:y val="0.15709969788519634"/>
          <c:w val="0.85580898081519718"/>
          <c:h val="0.47152619517726446"/>
        </c:manualLayout>
      </c:layout>
      <c:lineChart>
        <c:grouping val="standard"/>
        <c:varyColors val="0"/>
        <c:ser>
          <c:idx val="0"/>
          <c:order val="0"/>
          <c:tx>
            <c:strRef>
              <c:f>Analysis!$A$18</c:f>
              <c:strCache>
                <c:ptCount val="1"/>
                <c:pt idx="0">
                  <c:v>2008 Contract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Analysis!$B$17:$V$17</c:f>
              <c:strCache>
                <c:ptCount val="21"/>
                <c:pt idx="0">
                  <c:v>Salary 31 Mar 21</c:v>
                </c:pt>
                <c:pt idx="1">
                  <c:v>21/22 Wage Award</c:v>
                </c:pt>
                <c:pt idx="2">
                  <c:v>21/22 Progression</c:v>
                </c:pt>
                <c:pt idx="3">
                  <c:v>22/23 Wage Award</c:v>
                </c:pt>
                <c:pt idx="4">
                  <c:v>22/23 Progression</c:v>
                </c:pt>
                <c:pt idx="5">
                  <c:v>23/24 Wage Award</c:v>
                </c:pt>
                <c:pt idx="6">
                  <c:v>23/24 Progression</c:v>
                </c:pt>
                <c:pt idx="7">
                  <c:v>24/25</c:v>
                </c:pt>
                <c:pt idx="8">
                  <c:v>25/26</c:v>
                </c:pt>
                <c:pt idx="9">
                  <c:v>26/27</c:v>
                </c:pt>
                <c:pt idx="10">
                  <c:v>27/28</c:v>
                </c:pt>
                <c:pt idx="11">
                  <c:v>28/29</c:v>
                </c:pt>
                <c:pt idx="12">
                  <c:v>29/30</c:v>
                </c:pt>
                <c:pt idx="13">
                  <c:v>30/31</c:v>
                </c:pt>
                <c:pt idx="14">
                  <c:v>31/32</c:v>
                </c:pt>
                <c:pt idx="15">
                  <c:v>32/33</c:v>
                </c:pt>
                <c:pt idx="16">
                  <c:v>33/34</c:v>
                </c:pt>
                <c:pt idx="17">
                  <c:v>34/35</c:v>
                </c:pt>
                <c:pt idx="18">
                  <c:v>35/36</c:v>
                </c:pt>
                <c:pt idx="19">
                  <c:v>36/37</c:v>
                </c:pt>
                <c:pt idx="20">
                  <c:v>37/38</c:v>
                </c:pt>
              </c:strCache>
            </c:strRef>
          </c:cat>
          <c:val>
            <c:numRef>
              <c:f>Analysis!$B$18:$V$18</c:f>
              <c:numCache>
                <c:formatCode>_-"£"* #,##0_-;\-"£"* #,##0_-;_-"£"* "-"??_-;_-@_-</c:formatCode>
                <c:ptCount val="21"/>
                <c:pt idx="0">
                  <c:v>41360</c:v>
                </c:pt>
                <c:pt idx="1">
                  <c:v>42601</c:v>
                </c:pt>
                <c:pt idx="2">
                  <c:v>46242.879999999997</c:v>
                </c:pt>
                <c:pt idx="3">
                  <c:v>46705.308799999999</c:v>
                </c:pt>
                <c:pt idx="4">
                  <c:v>51488.608200000002</c:v>
                </c:pt>
                <c:pt idx="5">
                  <c:v>52003.494282</c:v>
                </c:pt>
                <c:pt idx="6">
                  <c:v>54591.671600000001</c:v>
                </c:pt>
                <c:pt idx="7">
                  <c:v>58320.320717999995</c:v>
                </c:pt>
                <c:pt idx="8">
                  <c:v>62037.707931999998</c:v>
                </c:pt>
                <c:pt idx="9">
                  <c:v>62037.381500000003</c:v>
                </c:pt>
                <c:pt idx="10">
                  <c:v>65834.948573999995</c:v>
                </c:pt>
                <c:pt idx="11">
                  <c:v>65834.948573999995</c:v>
                </c:pt>
                <c:pt idx="12">
                  <c:v>69636.392028000002</c:v>
                </c:pt>
                <c:pt idx="13">
                  <c:v>69636.392028000002</c:v>
                </c:pt>
                <c:pt idx="14">
                  <c:v>73437.83548200001</c:v>
                </c:pt>
                <c:pt idx="15">
                  <c:v>73437.83548200001</c:v>
                </c:pt>
                <c:pt idx="16">
                  <c:v>73437.83548200001</c:v>
                </c:pt>
                <c:pt idx="17">
                  <c:v>77237.177530000015</c:v>
                </c:pt>
                <c:pt idx="18">
                  <c:v>77237.177530000015</c:v>
                </c:pt>
                <c:pt idx="19">
                  <c:v>77237.177530000015</c:v>
                </c:pt>
                <c:pt idx="20">
                  <c:v>81036.519578000007</c:v>
                </c:pt>
              </c:numCache>
            </c:numRef>
          </c:val>
          <c:smooth val="0"/>
          <c:extLst>
            <c:ext xmlns:c16="http://schemas.microsoft.com/office/drawing/2014/chart" uri="{C3380CC4-5D6E-409C-BE32-E72D297353CC}">
              <c16:uniqueId val="{00000000-E7C3-4332-9A8E-84F9B691CE35}"/>
            </c:ext>
          </c:extLst>
        </c:ser>
        <c:ser>
          <c:idx val="1"/>
          <c:order val="1"/>
          <c:tx>
            <c:strRef>
              <c:f>Analysis!$A$19</c:f>
              <c:strCache>
                <c:ptCount val="1"/>
                <c:pt idx="0">
                  <c:v>2021 Contract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Analysis!$B$17:$V$17</c:f>
              <c:strCache>
                <c:ptCount val="21"/>
                <c:pt idx="0">
                  <c:v>Salary 31 Mar 21</c:v>
                </c:pt>
                <c:pt idx="1">
                  <c:v>21/22 Wage Award</c:v>
                </c:pt>
                <c:pt idx="2">
                  <c:v>21/22 Progression</c:v>
                </c:pt>
                <c:pt idx="3">
                  <c:v>22/23 Wage Award</c:v>
                </c:pt>
                <c:pt idx="4">
                  <c:v>22/23 Progression</c:v>
                </c:pt>
                <c:pt idx="5">
                  <c:v>23/24 Wage Award</c:v>
                </c:pt>
                <c:pt idx="6">
                  <c:v>23/24 Progression</c:v>
                </c:pt>
                <c:pt idx="7">
                  <c:v>24/25</c:v>
                </c:pt>
                <c:pt idx="8">
                  <c:v>25/26</c:v>
                </c:pt>
                <c:pt idx="9">
                  <c:v>26/27</c:v>
                </c:pt>
                <c:pt idx="10">
                  <c:v>27/28</c:v>
                </c:pt>
                <c:pt idx="11">
                  <c:v>28/29</c:v>
                </c:pt>
                <c:pt idx="12">
                  <c:v>29/30</c:v>
                </c:pt>
                <c:pt idx="13">
                  <c:v>30/31</c:v>
                </c:pt>
                <c:pt idx="14">
                  <c:v>31/32</c:v>
                </c:pt>
                <c:pt idx="15">
                  <c:v>32/33</c:v>
                </c:pt>
                <c:pt idx="16">
                  <c:v>33/34</c:v>
                </c:pt>
                <c:pt idx="17">
                  <c:v>34/35</c:v>
                </c:pt>
                <c:pt idx="18">
                  <c:v>35/36</c:v>
                </c:pt>
                <c:pt idx="19">
                  <c:v>36/37</c:v>
                </c:pt>
                <c:pt idx="20">
                  <c:v>37/38</c:v>
                </c:pt>
              </c:strCache>
            </c:strRef>
          </c:cat>
          <c:val>
            <c:numRef>
              <c:f>Analysis!$B$19:$V$19</c:f>
              <c:numCache>
                <c:formatCode>_-"£"* #,##0_-;\-"£"* #,##0_-;_-"£"* "-"??_-;_-@_-</c:formatCode>
                <c:ptCount val="21"/>
                <c:pt idx="0">
                  <c:v>41360</c:v>
                </c:pt>
                <c:pt idx="1">
                  <c:v>45345</c:v>
                </c:pt>
                <c:pt idx="2">
                  <c:v>46242.879999999997</c:v>
                </c:pt>
                <c:pt idx="3">
                  <c:v>50619.571075237116</c:v>
                </c:pt>
                <c:pt idx="4">
                  <c:v>50619.500099990037</c:v>
                </c:pt>
                <c:pt idx="5">
                  <c:v>51000</c:v>
                </c:pt>
                <c:pt idx="6">
                  <c:v>58756</c:v>
                </c:pt>
                <c:pt idx="7">
                  <c:v>58756</c:v>
                </c:pt>
                <c:pt idx="8">
                  <c:v>58756</c:v>
                </c:pt>
                <c:pt idx="9">
                  <c:v>65500</c:v>
                </c:pt>
                <c:pt idx="10">
                  <c:v>65500</c:v>
                </c:pt>
                <c:pt idx="11">
                  <c:v>65500</c:v>
                </c:pt>
                <c:pt idx="12">
                  <c:v>72500</c:v>
                </c:pt>
                <c:pt idx="13">
                  <c:v>72500</c:v>
                </c:pt>
                <c:pt idx="14">
                  <c:v>72500</c:v>
                </c:pt>
                <c:pt idx="15">
                  <c:v>80000</c:v>
                </c:pt>
                <c:pt idx="16">
                  <c:v>80000</c:v>
                </c:pt>
                <c:pt idx="17">
                  <c:v>80000</c:v>
                </c:pt>
                <c:pt idx="18">
                  <c:v>80000</c:v>
                </c:pt>
                <c:pt idx="19">
                  <c:v>80000</c:v>
                </c:pt>
                <c:pt idx="20">
                  <c:v>80000</c:v>
                </c:pt>
              </c:numCache>
            </c:numRef>
          </c:val>
          <c:smooth val="0"/>
          <c:extLst>
            <c:ext xmlns:c16="http://schemas.microsoft.com/office/drawing/2014/chart" uri="{C3380CC4-5D6E-409C-BE32-E72D297353CC}">
              <c16:uniqueId val="{00000001-E7C3-4332-9A8E-84F9B691CE35}"/>
            </c:ext>
          </c:extLst>
        </c:ser>
        <c:dLbls>
          <c:showLegendKey val="0"/>
          <c:showVal val="0"/>
          <c:showCatName val="0"/>
          <c:showSerName val="0"/>
          <c:showPercent val="0"/>
          <c:showBubbleSize val="0"/>
        </c:dLbls>
        <c:marker val="1"/>
        <c:smooth val="0"/>
        <c:axId val="569805472"/>
        <c:axId val="569808096"/>
      </c:lineChart>
      <c:catAx>
        <c:axId val="56980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569808096"/>
        <c:crosses val="autoZero"/>
        <c:auto val="1"/>
        <c:lblAlgn val="ctr"/>
        <c:lblOffset val="100"/>
        <c:noMultiLvlLbl val="0"/>
      </c:catAx>
      <c:valAx>
        <c:axId val="5698080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569805472"/>
        <c:crosses val="autoZero"/>
        <c:crossBetween val="between"/>
      </c:valAx>
      <c:spPr>
        <a:noFill/>
        <a:ln>
          <a:solidFill>
            <a:schemeClr val="bg1">
              <a:lumMod val="65000"/>
            </a:schemeClr>
          </a:solidFill>
        </a:ln>
        <a:effectLst/>
      </c:spPr>
    </c:plotArea>
    <c:legend>
      <c:legendPos val="b"/>
      <c:layout>
        <c:manualLayout>
          <c:xMode val="edge"/>
          <c:yMode val="edge"/>
          <c:x val="0.57557760024522475"/>
          <c:y val="0.90709676396190653"/>
          <c:w val="0.40553564381094698"/>
          <c:h val="6.8734051748063213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9776377952755"/>
          <c:y val="0.17540580908049477"/>
          <c:w val="0.85840795795795799"/>
          <c:h val="0.54624816925508612"/>
        </c:manualLayout>
      </c:layout>
      <c:barChart>
        <c:barDir val="col"/>
        <c:grouping val="clustered"/>
        <c:varyColors val="0"/>
        <c:ser>
          <c:idx val="0"/>
          <c:order val="0"/>
          <c:tx>
            <c:strRef>
              <c:f>Analysis!$A$26</c:f>
              <c:strCache>
                <c:ptCount val="1"/>
                <c:pt idx="0">
                  <c:v>Positive </c:v>
                </c:pt>
              </c:strCache>
            </c:strRef>
          </c:tx>
          <c:spPr>
            <a:solidFill>
              <a:schemeClr val="accent1"/>
            </a:solidFill>
            <a:ln>
              <a:noFill/>
            </a:ln>
            <a:effectLst/>
          </c:spPr>
          <c:invertIfNegative val="0"/>
          <c:cat>
            <c:strRef>
              <c:f>Analysis!$B$25:$V$25</c:f>
              <c:strCache>
                <c:ptCount val="21"/>
                <c:pt idx="0">
                  <c:v>Salary 31 Mar 21</c:v>
                </c:pt>
                <c:pt idx="1">
                  <c:v>21/22 Wage Award</c:v>
                </c:pt>
                <c:pt idx="2">
                  <c:v>21/22 Progression</c:v>
                </c:pt>
                <c:pt idx="3">
                  <c:v>22/23 Wage Award</c:v>
                </c:pt>
                <c:pt idx="4">
                  <c:v>22/23 Progression</c:v>
                </c:pt>
                <c:pt idx="5">
                  <c:v>23/24 Wage Award</c:v>
                </c:pt>
                <c:pt idx="6">
                  <c:v>23/24 Progression</c:v>
                </c:pt>
                <c:pt idx="7">
                  <c:v>24/25</c:v>
                </c:pt>
                <c:pt idx="8">
                  <c:v>25/26</c:v>
                </c:pt>
                <c:pt idx="9">
                  <c:v>26/27</c:v>
                </c:pt>
                <c:pt idx="10">
                  <c:v>27/28</c:v>
                </c:pt>
                <c:pt idx="11">
                  <c:v>28/29</c:v>
                </c:pt>
                <c:pt idx="12">
                  <c:v>29/30</c:v>
                </c:pt>
                <c:pt idx="13">
                  <c:v>30/31</c:v>
                </c:pt>
                <c:pt idx="14">
                  <c:v>31/32</c:v>
                </c:pt>
                <c:pt idx="15">
                  <c:v>32/33</c:v>
                </c:pt>
                <c:pt idx="16">
                  <c:v>33/34</c:v>
                </c:pt>
                <c:pt idx="17">
                  <c:v>34/35</c:v>
                </c:pt>
                <c:pt idx="18">
                  <c:v>35/36</c:v>
                </c:pt>
                <c:pt idx="19">
                  <c:v>36/37</c:v>
                </c:pt>
                <c:pt idx="20">
                  <c:v>37/38</c:v>
                </c:pt>
              </c:strCache>
            </c:strRef>
          </c:cat>
          <c:val>
            <c:numRef>
              <c:f>Analysis!$B$26:$V$26</c:f>
              <c:numCache>
                <c:formatCode>_-"£"* #,##0_-;\-"£"* #,##0_-;_-"£"* "-"??_-;_-@_-</c:formatCode>
                <c:ptCount val="21"/>
                <c:pt idx="0">
                  <c:v>0</c:v>
                </c:pt>
                <c:pt idx="1">
                  <c:v>2744</c:v>
                </c:pt>
                <c:pt idx="2">
                  <c:v>0</c:v>
                </c:pt>
                <c:pt idx="3">
                  <c:v>3914.2622752371171</c:v>
                </c:pt>
                <c:pt idx="4">
                  <c:v>#N/A</c:v>
                </c:pt>
                <c:pt idx="5">
                  <c:v>#N/A</c:v>
                </c:pt>
                <c:pt idx="6">
                  <c:v>4164.3283999999985</c:v>
                </c:pt>
                <c:pt idx="7">
                  <c:v>435.6792820000046</c:v>
                </c:pt>
                <c:pt idx="8">
                  <c:v>#N/A</c:v>
                </c:pt>
                <c:pt idx="9">
                  <c:v>3462.6184999999969</c:v>
                </c:pt>
                <c:pt idx="10">
                  <c:v>#N/A</c:v>
                </c:pt>
                <c:pt idx="11">
                  <c:v>#N/A</c:v>
                </c:pt>
                <c:pt idx="12">
                  <c:v>2863.607971999998</c:v>
                </c:pt>
                <c:pt idx="13">
                  <c:v>2863.607971999998</c:v>
                </c:pt>
                <c:pt idx="14">
                  <c:v>#N/A</c:v>
                </c:pt>
                <c:pt idx="15">
                  <c:v>6562.1645179999905</c:v>
                </c:pt>
                <c:pt idx="16">
                  <c:v>6562.1645179999905</c:v>
                </c:pt>
                <c:pt idx="17">
                  <c:v>2762.8224699999846</c:v>
                </c:pt>
                <c:pt idx="18">
                  <c:v>2762.8224699999846</c:v>
                </c:pt>
                <c:pt idx="19">
                  <c:v>2762.8224699999846</c:v>
                </c:pt>
                <c:pt idx="20">
                  <c:v>#N/A</c:v>
                </c:pt>
              </c:numCache>
            </c:numRef>
          </c:val>
          <c:extLst>
            <c:ext xmlns:c16="http://schemas.microsoft.com/office/drawing/2014/chart" uri="{C3380CC4-5D6E-409C-BE32-E72D297353CC}">
              <c16:uniqueId val="{00000000-99E2-4787-8AAC-7730E29BD975}"/>
            </c:ext>
          </c:extLst>
        </c:ser>
        <c:ser>
          <c:idx val="1"/>
          <c:order val="1"/>
          <c:tx>
            <c:strRef>
              <c:f>Analysis!$A$27</c:f>
              <c:strCache>
                <c:ptCount val="1"/>
                <c:pt idx="0">
                  <c:v>Negative</c:v>
                </c:pt>
              </c:strCache>
            </c:strRef>
          </c:tx>
          <c:spPr>
            <a:solidFill>
              <a:schemeClr val="accent2"/>
            </a:solidFill>
            <a:ln>
              <a:noFill/>
            </a:ln>
            <a:effectLst/>
          </c:spPr>
          <c:invertIfNegative val="0"/>
          <c:cat>
            <c:strRef>
              <c:f>Analysis!$B$25:$V$25</c:f>
              <c:strCache>
                <c:ptCount val="21"/>
                <c:pt idx="0">
                  <c:v>Salary 31 Mar 21</c:v>
                </c:pt>
                <c:pt idx="1">
                  <c:v>21/22 Wage Award</c:v>
                </c:pt>
                <c:pt idx="2">
                  <c:v>21/22 Progression</c:v>
                </c:pt>
                <c:pt idx="3">
                  <c:v>22/23 Wage Award</c:v>
                </c:pt>
                <c:pt idx="4">
                  <c:v>22/23 Progression</c:v>
                </c:pt>
                <c:pt idx="5">
                  <c:v>23/24 Wage Award</c:v>
                </c:pt>
                <c:pt idx="6">
                  <c:v>23/24 Progression</c:v>
                </c:pt>
                <c:pt idx="7">
                  <c:v>24/25</c:v>
                </c:pt>
                <c:pt idx="8">
                  <c:v>25/26</c:v>
                </c:pt>
                <c:pt idx="9">
                  <c:v>26/27</c:v>
                </c:pt>
                <c:pt idx="10">
                  <c:v>27/28</c:v>
                </c:pt>
                <c:pt idx="11">
                  <c:v>28/29</c:v>
                </c:pt>
                <c:pt idx="12">
                  <c:v>29/30</c:v>
                </c:pt>
                <c:pt idx="13">
                  <c:v>30/31</c:v>
                </c:pt>
                <c:pt idx="14">
                  <c:v>31/32</c:v>
                </c:pt>
                <c:pt idx="15">
                  <c:v>32/33</c:v>
                </c:pt>
                <c:pt idx="16">
                  <c:v>33/34</c:v>
                </c:pt>
                <c:pt idx="17">
                  <c:v>34/35</c:v>
                </c:pt>
                <c:pt idx="18">
                  <c:v>35/36</c:v>
                </c:pt>
                <c:pt idx="19">
                  <c:v>36/37</c:v>
                </c:pt>
                <c:pt idx="20">
                  <c:v>37/38</c:v>
                </c:pt>
              </c:strCache>
            </c:strRef>
          </c:cat>
          <c:val>
            <c:numRef>
              <c:f>Analysis!$B$27:$V$27</c:f>
              <c:numCache>
                <c:formatCode>_-"£"* #,##0_-;\-"£"* #,##0_-;_-"£"* "-"??_-;_-@_-</c:formatCode>
                <c:ptCount val="21"/>
                <c:pt idx="0">
                  <c:v>#N/A</c:v>
                </c:pt>
                <c:pt idx="1">
                  <c:v>#N/A</c:v>
                </c:pt>
                <c:pt idx="2">
                  <c:v>#N/A</c:v>
                </c:pt>
                <c:pt idx="3">
                  <c:v>#N/A</c:v>
                </c:pt>
                <c:pt idx="4">
                  <c:v>-869.10810000996571</c:v>
                </c:pt>
                <c:pt idx="5">
                  <c:v>-1003.4942819999997</c:v>
                </c:pt>
                <c:pt idx="6">
                  <c:v>#N/A</c:v>
                </c:pt>
                <c:pt idx="7">
                  <c:v>#N/A</c:v>
                </c:pt>
                <c:pt idx="8">
                  <c:v>-3281.7079319999975</c:v>
                </c:pt>
                <c:pt idx="9">
                  <c:v>#N/A</c:v>
                </c:pt>
                <c:pt idx="10">
                  <c:v>-334.94857399999455</c:v>
                </c:pt>
                <c:pt idx="11">
                  <c:v>-334.94857399999455</c:v>
                </c:pt>
                <c:pt idx="12">
                  <c:v>#N/A</c:v>
                </c:pt>
                <c:pt idx="13">
                  <c:v>#N/A</c:v>
                </c:pt>
                <c:pt idx="14">
                  <c:v>-937.83548200000951</c:v>
                </c:pt>
                <c:pt idx="15">
                  <c:v>#N/A</c:v>
                </c:pt>
                <c:pt idx="16">
                  <c:v>#N/A</c:v>
                </c:pt>
                <c:pt idx="17">
                  <c:v>#N/A</c:v>
                </c:pt>
                <c:pt idx="18">
                  <c:v>#N/A</c:v>
                </c:pt>
                <c:pt idx="19">
                  <c:v>#N/A</c:v>
                </c:pt>
                <c:pt idx="20">
                  <c:v>-1036.5195780000067</c:v>
                </c:pt>
              </c:numCache>
            </c:numRef>
          </c:val>
          <c:extLst>
            <c:ext xmlns:c16="http://schemas.microsoft.com/office/drawing/2014/chart" uri="{C3380CC4-5D6E-409C-BE32-E72D297353CC}">
              <c16:uniqueId val="{00000001-99E2-4787-8AAC-7730E29BD975}"/>
            </c:ext>
          </c:extLst>
        </c:ser>
        <c:dLbls>
          <c:showLegendKey val="0"/>
          <c:showVal val="0"/>
          <c:showCatName val="0"/>
          <c:showSerName val="0"/>
          <c:showPercent val="0"/>
          <c:showBubbleSize val="0"/>
        </c:dLbls>
        <c:gapWidth val="50"/>
        <c:overlap val="100"/>
        <c:axId val="571299608"/>
        <c:axId val="571297968"/>
      </c:barChart>
      <c:catAx>
        <c:axId val="5712996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571297968"/>
        <c:crosses val="autoZero"/>
        <c:auto val="1"/>
        <c:lblAlgn val="ctr"/>
        <c:lblOffset val="100"/>
        <c:noMultiLvlLbl val="0"/>
      </c:catAx>
      <c:valAx>
        <c:axId val="5712979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571299608"/>
        <c:crosses val="autoZero"/>
        <c:crossBetween val="between"/>
      </c:valAx>
      <c:spPr>
        <a:noFill/>
        <a:ln>
          <a:solidFill>
            <a:schemeClr val="bg1">
              <a:lumMod val="65000"/>
            </a:schemeClr>
          </a:solidFill>
        </a:ln>
        <a:effectLst/>
      </c:spPr>
    </c:plotArea>
    <c:legend>
      <c:legendPos val="b"/>
      <c:layout>
        <c:manualLayout>
          <c:xMode val="edge"/>
          <c:yMode val="edge"/>
          <c:x val="0.54993847584571698"/>
          <c:y val="0.92241904844767331"/>
          <c:w val="0.44673099610718497"/>
          <c:h val="6.284798654311857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4982408718635"/>
          <c:y val="0.24181974868792425"/>
          <c:w val="0.84826347694050341"/>
          <c:h val="0.5656301011781979"/>
        </c:manualLayout>
      </c:layout>
      <c:barChart>
        <c:barDir val="col"/>
        <c:grouping val="clustered"/>
        <c:varyColors val="0"/>
        <c:ser>
          <c:idx val="0"/>
          <c:order val="0"/>
          <c:tx>
            <c:strRef>
              <c:f>Analysis!$F$34</c:f>
              <c:strCache>
                <c:ptCount val="1"/>
                <c:pt idx="0">
                  <c:v>2008 Contract</c:v>
                </c:pt>
              </c:strCache>
            </c:strRef>
          </c:tx>
          <c:spPr>
            <a:solidFill>
              <a:schemeClr val="accent1"/>
            </a:solidFill>
            <a:ln>
              <a:noFill/>
            </a:ln>
            <a:effectLst/>
          </c:spPr>
          <c:invertIfNegative val="0"/>
          <c:cat>
            <c:strRef>
              <c:f>Analysis!$E$35:$E$51</c:f>
              <c:strCache>
                <c:ptCount val="17"/>
                <c:pt idx="0">
                  <c:v>21/22</c:v>
                </c:pt>
                <c:pt idx="1">
                  <c:v>22/23</c:v>
                </c:pt>
                <c:pt idx="2">
                  <c:v>23/24</c:v>
                </c:pt>
                <c:pt idx="3">
                  <c:v>24/25</c:v>
                </c:pt>
                <c:pt idx="4">
                  <c:v>25/26</c:v>
                </c:pt>
                <c:pt idx="5">
                  <c:v>26/27</c:v>
                </c:pt>
                <c:pt idx="6">
                  <c:v>27/28</c:v>
                </c:pt>
                <c:pt idx="7">
                  <c:v>28/29</c:v>
                </c:pt>
                <c:pt idx="8">
                  <c:v>29/30</c:v>
                </c:pt>
                <c:pt idx="9">
                  <c:v>30/31</c:v>
                </c:pt>
                <c:pt idx="10">
                  <c:v>31/32</c:v>
                </c:pt>
                <c:pt idx="11">
                  <c:v>32/33</c:v>
                </c:pt>
                <c:pt idx="12">
                  <c:v>33/34</c:v>
                </c:pt>
                <c:pt idx="13">
                  <c:v>34/35</c:v>
                </c:pt>
                <c:pt idx="14">
                  <c:v>35/36</c:v>
                </c:pt>
                <c:pt idx="15">
                  <c:v>36/37</c:v>
                </c:pt>
                <c:pt idx="16">
                  <c:v>37/38</c:v>
                </c:pt>
              </c:strCache>
            </c:strRef>
          </c:cat>
          <c:val>
            <c:numRef>
              <c:f>Analysis!$F$35:$F$51</c:f>
              <c:numCache>
                <c:formatCode>_-"£"* #,##0_-;\-"£"* #,##0_-;_-"£"* "-"??_-;_-@_-</c:formatCode>
                <c:ptCount val="17"/>
                <c:pt idx="0">
                  <c:v>44421.94</c:v>
                </c:pt>
                <c:pt idx="1">
                  <c:v>93518.89850000001</c:v>
                </c:pt>
                <c:pt idx="2">
                  <c:v>146816.48144100001</c:v>
                </c:pt>
                <c:pt idx="3">
                  <c:v>203272.47760000001</c:v>
                </c:pt>
                <c:pt idx="4">
                  <c:v>263451.49192499998</c:v>
                </c:pt>
                <c:pt idx="5">
                  <c:v>325489.03664099996</c:v>
                </c:pt>
                <c:pt idx="6">
                  <c:v>389425.20167799992</c:v>
                </c:pt>
                <c:pt idx="7">
                  <c:v>455260.1502519999</c:v>
                </c:pt>
                <c:pt idx="8">
                  <c:v>522995.82055299991</c:v>
                </c:pt>
                <c:pt idx="9">
                  <c:v>592632.21258099994</c:v>
                </c:pt>
                <c:pt idx="10">
                  <c:v>664169.32633599988</c:v>
                </c:pt>
                <c:pt idx="11">
                  <c:v>737607.16181799991</c:v>
                </c:pt>
                <c:pt idx="12">
                  <c:v>811044.99729999993</c:v>
                </c:pt>
                <c:pt idx="13">
                  <c:v>886382.50380599988</c:v>
                </c:pt>
                <c:pt idx="14">
                  <c:v>963619.68133599986</c:v>
                </c:pt>
                <c:pt idx="15">
                  <c:v>1040856.8588659998</c:v>
                </c:pt>
                <c:pt idx="16">
                  <c:v>1119993.7074199999</c:v>
                </c:pt>
              </c:numCache>
            </c:numRef>
          </c:val>
          <c:extLst>
            <c:ext xmlns:c16="http://schemas.microsoft.com/office/drawing/2014/chart" uri="{C3380CC4-5D6E-409C-BE32-E72D297353CC}">
              <c16:uniqueId val="{00000000-B67B-425D-ADB6-F520CBAC13E6}"/>
            </c:ext>
          </c:extLst>
        </c:ser>
        <c:ser>
          <c:idx val="1"/>
          <c:order val="1"/>
          <c:tx>
            <c:strRef>
              <c:f>Analysis!$G$34</c:f>
              <c:strCache>
                <c:ptCount val="1"/>
                <c:pt idx="0">
                  <c:v>2021 Contract</c:v>
                </c:pt>
              </c:strCache>
            </c:strRef>
          </c:tx>
          <c:spPr>
            <a:solidFill>
              <a:schemeClr val="accent2"/>
            </a:solidFill>
            <a:ln>
              <a:noFill/>
            </a:ln>
            <a:effectLst/>
          </c:spPr>
          <c:invertIfNegative val="0"/>
          <c:cat>
            <c:strRef>
              <c:f>Analysis!$E$35:$E$51</c:f>
              <c:strCache>
                <c:ptCount val="17"/>
                <c:pt idx="0">
                  <c:v>21/22</c:v>
                </c:pt>
                <c:pt idx="1">
                  <c:v>22/23</c:v>
                </c:pt>
                <c:pt idx="2">
                  <c:v>23/24</c:v>
                </c:pt>
                <c:pt idx="3">
                  <c:v>24/25</c:v>
                </c:pt>
                <c:pt idx="4">
                  <c:v>25/26</c:v>
                </c:pt>
                <c:pt idx="5">
                  <c:v>26/27</c:v>
                </c:pt>
                <c:pt idx="6">
                  <c:v>27/28</c:v>
                </c:pt>
                <c:pt idx="7">
                  <c:v>28/29</c:v>
                </c:pt>
                <c:pt idx="8">
                  <c:v>29/30</c:v>
                </c:pt>
                <c:pt idx="9">
                  <c:v>30/31</c:v>
                </c:pt>
                <c:pt idx="10">
                  <c:v>31/32</c:v>
                </c:pt>
                <c:pt idx="11">
                  <c:v>32/33</c:v>
                </c:pt>
                <c:pt idx="12">
                  <c:v>33/34</c:v>
                </c:pt>
                <c:pt idx="13">
                  <c:v>34/35</c:v>
                </c:pt>
                <c:pt idx="14">
                  <c:v>35/36</c:v>
                </c:pt>
                <c:pt idx="15">
                  <c:v>36/37</c:v>
                </c:pt>
                <c:pt idx="16">
                  <c:v>37/38</c:v>
                </c:pt>
              </c:strCache>
            </c:strRef>
          </c:cat>
          <c:val>
            <c:numRef>
              <c:f>Analysis!$G$35:$G$51</c:f>
              <c:numCache>
                <c:formatCode>_-"£"* #,##0_-;\-"£"* #,##0_-;_-"£"* "-"??_-;_-@_-</c:formatCode>
                <c:ptCount val="17"/>
                <c:pt idx="0">
                  <c:v>45793.94</c:v>
                </c:pt>
                <c:pt idx="1">
                  <c:v>96413.475587613575</c:v>
                </c:pt>
                <c:pt idx="2">
                  <c:v>151291.47558761359</c:v>
                </c:pt>
                <c:pt idx="3">
                  <c:v>210047.47558761359</c:v>
                </c:pt>
                <c:pt idx="4">
                  <c:v>268803.47558761359</c:v>
                </c:pt>
                <c:pt idx="5">
                  <c:v>330931.47558761359</c:v>
                </c:pt>
                <c:pt idx="6">
                  <c:v>396431.47558761359</c:v>
                </c:pt>
                <c:pt idx="7">
                  <c:v>461931.47558761359</c:v>
                </c:pt>
                <c:pt idx="8">
                  <c:v>530931.47558761365</c:v>
                </c:pt>
                <c:pt idx="9">
                  <c:v>603431.47558761365</c:v>
                </c:pt>
                <c:pt idx="10">
                  <c:v>675931.47558761365</c:v>
                </c:pt>
                <c:pt idx="11">
                  <c:v>752181.47558761365</c:v>
                </c:pt>
                <c:pt idx="12">
                  <c:v>832181.47558761365</c:v>
                </c:pt>
                <c:pt idx="13">
                  <c:v>912181.47558761365</c:v>
                </c:pt>
                <c:pt idx="14">
                  <c:v>992181.47558761365</c:v>
                </c:pt>
                <c:pt idx="15">
                  <c:v>1072181.4755876136</c:v>
                </c:pt>
                <c:pt idx="16">
                  <c:v>1152181.4755876136</c:v>
                </c:pt>
              </c:numCache>
            </c:numRef>
          </c:val>
          <c:extLst>
            <c:ext xmlns:c16="http://schemas.microsoft.com/office/drawing/2014/chart" uri="{C3380CC4-5D6E-409C-BE32-E72D297353CC}">
              <c16:uniqueId val="{00000001-B67B-425D-ADB6-F520CBAC13E6}"/>
            </c:ext>
          </c:extLst>
        </c:ser>
        <c:dLbls>
          <c:showLegendKey val="0"/>
          <c:showVal val="0"/>
          <c:showCatName val="0"/>
          <c:showSerName val="0"/>
          <c:showPercent val="0"/>
          <c:showBubbleSize val="0"/>
        </c:dLbls>
        <c:gapWidth val="100"/>
        <c:overlap val="2"/>
        <c:axId val="736053568"/>
        <c:axId val="736061440"/>
      </c:barChart>
      <c:catAx>
        <c:axId val="7360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061440"/>
        <c:crosses val="autoZero"/>
        <c:auto val="1"/>
        <c:lblAlgn val="ctr"/>
        <c:lblOffset val="100"/>
        <c:noMultiLvlLbl val="0"/>
      </c:catAx>
      <c:valAx>
        <c:axId val="7360614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053568"/>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Drop" dropLines="20" dropStyle="combo" dx="22" fmlaLink="Analysis!$B$4" fmlaRange="YrExp" noThreeD="1" sel="1" val="0"/>
</file>

<file path=xl/ctrlProps/ctrlProp3.xml><?xml version="1.0" encoding="utf-8"?>
<formControlPr xmlns="http://schemas.microsoft.com/office/spreadsheetml/2009/9/main" objectType="Radio" firstButton="1" fmlaLink="Analysis!$B$5"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571500</xdr:colOff>
      <xdr:row>17</xdr:row>
      <xdr:rowOff>76200</xdr:rowOff>
    </xdr:from>
    <xdr:to>
      <xdr:col>7</xdr:col>
      <xdr:colOff>95250</xdr:colOff>
      <xdr:row>20</xdr:row>
      <xdr:rowOff>114300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743200" y="3962400"/>
          <a:ext cx="1962150" cy="609600"/>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400049</xdr:colOff>
      <xdr:row>48</xdr:row>
      <xdr:rowOff>0</xdr:rowOff>
    </xdr:from>
    <xdr:to>
      <xdr:col>11</xdr:col>
      <xdr:colOff>11549</xdr:colOff>
      <xdr:row>66</xdr:row>
      <xdr:rowOff>171000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19048</xdr:colOff>
      <xdr:row>68</xdr:row>
      <xdr:rowOff>0</xdr:rowOff>
    </xdr:from>
    <xdr:to>
      <xdr:col>11</xdr:col>
      <xdr:colOff>30598</xdr:colOff>
      <xdr:row>86</xdr:row>
      <xdr:rowOff>171000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5</xdr:col>
          <xdr:colOff>104775</xdr:colOff>
          <xdr:row>49</xdr:row>
          <xdr:rowOff>142875</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390526</xdr:colOff>
      <xdr:row>17</xdr:row>
      <xdr:rowOff>114300</xdr:rowOff>
    </xdr:from>
    <xdr:to>
      <xdr:col>3</xdr:col>
      <xdr:colOff>180976</xdr:colOff>
      <xdr:row>20</xdr:row>
      <xdr:rowOff>104025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90526" y="4000500"/>
          <a:ext cx="1962150" cy="561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2008 Contract Wage Award for 2022/23 &amp; 2023/24</a:t>
          </a:r>
        </a:p>
      </xdr:txBody>
    </xdr:sp>
    <xdr:clientData/>
  </xdr:twoCellAnchor>
  <xdr:twoCellAnchor>
    <xdr:from>
      <xdr:col>1</xdr:col>
      <xdr:colOff>0</xdr:colOff>
      <xdr:row>15</xdr:row>
      <xdr:rowOff>66675</xdr:rowOff>
    </xdr:from>
    <xdr:to>
      <xdr:col>3</xdr:col>
      <xdr:colOff>133350</xdr:colOff>
      <xdr:row>16</xdr:row>
      <xdr:rowOff>104775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400050" y="6943725"/>
          <a:ext cx="1981200" cy="22860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Pay</a:t>
          </a:r>
          <a:r>
            <a:rPr lang="en-GB" sz="1100" baseline="0"/>
            <a:t> Point on 31 March 2021</a:t>
          </a:r>
          <a:endParaRPr lang="en-GB" sz="1100"/>
        </a:p>
      </xdr:txBody>
    </xdr:sp>
    <xdr:clientData/>
  </xdr:twoCellAnchor>
  <xdr:twoCellAnchor editAs="oneCell">
    <xdr:from>
      <xdr:col>0</xdr:col>
      <xdr:colOff>390525</xdr:colOff>
      <xdr:row>0</xdr:row>
      <xdr:rowOff>114300</xdr:rowOff>
    </xdr:from>
    <xdr:to>
      <xdr:col>3</xdr:col>
      <xdr:colOff>174625</xdr:colOff>
      <xdr:row>4</xdr:row>
      <xdr:rowOff>146050</xdr:rowOff>
    </xdr:to>
    <xdr:pic>
      <xdr:nvPicPr>
        <xdr:cNvPr id="12" name="Picture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153" b="7895"/>
        <a:stretch/>
      </xdr:blipFill>
      <xdr:spPr bwMode="auto">
        <a:xfrm>
          <a:off x="390525" y="114300"/>
          <a:ext cx="2032000" cy="793750"/>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161925</xdr:colOff>
      <xdr:row>0</xdr:row>
      <xdr:rowOff>85725</xdr:rowOff>
    </xdr:from>
    <xdr:to>
      <xdr:col>10</xdr:col>
      <xdr:colOff>123825</xdr:colOff>
      <xdr:row>5</xdr:row>
      <xdr:rowOff>123825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43225" y="85725"/>
          <a:ext cx="36195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1">
              <a:solidFill>
                <a:sysClr val="windowText" lastClr="000000"/>
              </a:solidFill>
              <a:effectLst/>
              <a:latin typeface="Arial" panose="020B0604020202020204" pitchFamily="34" charset="0"/>
              <a:ea typeface="+mn-ea"/>
              <a:cs typeface="Arial" panose="020B0604020202020204" pitchFamily="34" charset="0"/>
            </a:rPr>
            <a:t>Individual pay journeys for existing SAS doctors transitioning to the new contracts – comparison of 2008 contract and 2021 contract</a:t>
          </a:r>
          <a:endParaRPr lang="en-GB" sz="1400">
            <a:solidFill>
              <a:sysClr val="windowText" lastClr="000000"/>
            </a:solidFill>
            <a:effectLst/>
            <a:latin typeface="Arial" panose="020B0604020202020204" pitchFamily="34" charset="0"/>
            <a:ea typeface="+mn-ea"/>
            <a:cs typeface="Arial" panose="020B0604020202020204" pitchFamily="34" charset="0"/>
          </a:endParaRPr>
        </a:p>
        <a:p>
          <a:pPr algn="ctr"/>
          <a:endParaRPr lang="en-GB"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219075</xdr:colOff>
      <xdr:row>6</xdr:row>
      <xdr:rowOff>142875</xdr:rowOff>
    </xdr:from>
    <xdr:to>
      <xdr:col>13</xdr:col>
      <xdr:colOff>342900</xdr:colOff>
      <xdr:row>12</xdr:row>
      <xdr:rowOff>9525</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19075" y="1285875"/>
          <a:ext cx="8467725" cy="47434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i="0">
            <a:solidFill>
              <a:sysClr val="windowText" lastClr="000000"/>
            </a:solidFill>
            <a:effectLst/>
            <a:latin typeface="+mn-lt"/>
            <a:ea typeface="+mn-ea"/>
            <a:cs typeface="+mn-cs"/>
          </a:endParaRPr>
        </a:p>
        <a:p>
          <a:pPr algn="l"/>
          <a:r>
            <a:rPr lang="en-GB" sz="1100" i="0">
              <a:solidFill>
                <a:sysClr val="windowText" lastClr="000000"/>
              </a:solidFill>
              <a:effectLst/>
              <a:latin typeface="+mn-lt"/>
              <a:ea typeface="+mn-ea"/>
              <a:cs typeface="+mn-cs"/>
            </a:rPr>
            <a:t>This pay tool has been developed to enable specialty doctors to compare the salaries of the 2008 and 2021 contracts. Based upon your pay point within in the grade as of 31 March 2021, it compares your projected pay under the two contracts not just for the three years of the contract transition period but also much further into the future so you can understand the effect on your pay over your career.</a:t>
          </a:r>
        </a:p>
        <a:p>
          <a:r>
            <a:rPr lang="en-GB" sz="1100" i="0">
              <a:solidFill>
                <a:sysClr val="windowText" lastClr="000000"/>
              </a:solidFill>
              <a:effectLst/>
              <a:latin typeface="+mn-lt"/>
              <a:ea typeface="+mn-ea"/>
              <a:cs typeface="+mn-cs"/>
            </a:rPr>
            <a:t> </a:t>
          </a:r>
        </a:p>
        <a:p>
          <a:r>
            <a:rPr lang="en-GB" sz="1100" i="0">
              <a:solidFill>
                <a:sysClr val="windowText" lastClr="000000"/>
              </a:solidFill>
              <a:effectLst/>
              <a:latin typeface="+mn-lt"/>
              <a:ea typeface="+mn-ea"/>
              <a:cs typeface="+mn-cs"/>
            </a:rPr>
            <a:t>The tool reflects the pay continuity arrangements as agreed and communicated by Welsh Government, NHS Wales Employers and BMA Cymru Wales. </a:t>
          </a:r>
          <a:r>
            <a:rPr lang="en-GB" sz="1100">
              <a:solidFill>
                <a:sysClr val="windowText" lastClr="000000"/>
              </a:solidFill>
              <a:effectLst/>
              <a:latin typeface="+mn-lt"/>
              <a:ea typeface="+mn-ea"/>
              <a:cs typeface="+mn-cs"/>
            </a:rPr>
            <a:t>For more information on the specifics of these arrangements please visit the NHS Wales Employers website - please</a:t>
          </a:r>
          <a:r>
            <a:rPr lang="en-GB" sz="1100" baseline="0">
              <a:solidFill>
                <a:sysClr val="windowText" lastClr="000000"/>
              </a:solidFill>
              <a:effectLst/>
              <a:latin typeface="+mn-lt"/>
              <a:ea typeface="+mn-ea"/>
              <a:cs typeface="+mn-cs"/>
            </a:rPr>
            <a:t> see link below.</a:t>
          </a:r>
          <a:endParaRPr lang="en-GB" sz="1100">
            <a:solidFill>
              <a:sysClr val="windowText" lastClr="000000"/>
            </a:solidFill>
            <a:effectLst/>
            <a:latin typeface="+mn-lt"/>
            <a:ea typeface="+mn-ea"/>
            <a:cs typeface="+mn-cs"/>
          </a:endParaRPr>
        </a:p>
        <a:p>
          <a:r>
            <a:rPr lang="en-GB" sz="1100" i="0">
              <a:solidFill>
                <a:sysClr val="windowText" lastClr="000000"/>
              </a:solidFill>
              <a:effectLst/>
              <a:latin typeface="+mn-lt"/>
              <a:ea typeface="+mn-ea"/>
              <a:cs typeface="+mn-cs"/>
            </a:rPr>
            <a:t> </a:t>
          </a:r>
        </a:p>
        <a:p>
          <a:r>
            <a:rPr lang="en-GB" sz="1100" i="0">
              <a:solidFill>
                <a:sysClr val="windowText" lastClr="000000"/>
              </a:solidFill>
              <a:effectLst/>
              <a:latin typeface="+mn-lt"/>
              <a:ea typeface="+mn-ea"/>
              <a:cs typeface="+mn-cs"/>
            </a:rPr>
            <a:t>As future pay awards for the 2008 contract are unknown, the pay tool can be used to model the possible future pay awards of 0%, 1% or 2% and compare these salaries against the 2021 contract. Simply choose your pay point as at 31 March</a:t>
          </a:r>
          <a:r>
            <a:rPr lang="en-GB" sz="1100" i="0" baseline="0">
              <a:solidFill>
                <a:sysClr val="windowText" lastClr="000000"/>
              </a:solidFill>
              <a:effectLst/>
              <a:latin typeface="+mn-lt"/>
              <a:ea typeface="+mn-ea"/>
              <a:cs typeface="+mn-cs"/>
            </a:rPr>
            <a:t> 2021 </a:t>
          </a:r>
          <a:r>
            <a:rPr lang="en-GB" sz="1100" i="0">
              <a:solidFill>
                <a:sysClr val="windowText" lastClr="000000"/>
              </a:solidFill>
              <a:effectLst/>
              <a:latin typeface="+mn-lt"/>
              <a:ea typeface="+mn-ea"/>
              <a:cs typeface="+mn-cs"/>
            </a:rPr>
            <a:t>from the drop down list and choose one of the options (0%, 1% or 2% ) </a:t>
          </a:r>
          <a:r>
            <a:rPr lang="en-GB" sz="1100">
              <a:solidFill>
                <a:sysClr val="windowText" lastClr="000000"/>
              </a:solidFill>
              <a:effectLst/>
              <a:latin typeface="+mn-lt"/>
              <a:ea typeface="+mn-ea"/>
              <a:cs typeface="+mn-cs"/>
            </a:rPr>
            <a:t>for the 2008 contract pay awards for 2022/23 and 2023/24.</a:t>
          </a:r>
          <a:endParaRPr lang="en-GB" sz="1100" i="0">
            <a:solidFill>
              <a:sysClr val="windowText" lastClr="000000"/>
            </a:solidFill>
            <a:effectLst/>
            <a:latin typeface="+mn-lt"/>
            <a:ea typeface="+mn-ea"/>
            <a:cs typeface="+mn-cs"/>
          </a:endParaRPr>
        </a:p>
        <a:p>
          <a:r>
            <a:rPr lang="en-GB" sz="1100" i="0">
              <a:solidFill>
                <a:sysClr val="windowText" lastClr="000000"/>
              </a:solidFill>
              <a:effectLst/>
              <a:latin typeface="+mn-lt"/>
              <a:ea typeface="+mn-ea"/>
              <a:cs typeface="+mn-cs"/>
            </a:rPr>
            <a:t> </a:t>
          </a:r>
        </a:p>
        <a:p>
          <a:r>
            <a:rPr lang="en-GB" sz="1100" b="1" i="0">
              <a:solidFill>
                <a:sysClr val="windowText" lastClr="000000"/>
              </a:solidFill>
              <a:effectLst/>
              <a:latin typeface="+mn-lt"/>
              <a:ea typeface="+mn-ea"/>
              <a:cs typeface="+mn-cs"/>
            </a:rPr>
            <a:t>Notes:</a:t>
          </a:r>
          <a:endParaRPr lang="en-GB" sz="1100" b="0" i="0">
            <a:solidFill>
              <a:sysClr val="windowText" lastClr="000000"/>
            </a:solidFill>
            <a:effectLst/>
            <a:latin typeface="+mn-lt"/>
            <a:ea typeface="+mn-ea"/>
            <a:cs typeface="+mn-cs"/>
          </a:endParaRPr>
        </a:p>
        <a:p>
          <a:r>
            <a:rPr lang="en-GB" sz="1100" i="0" baseline="0">
              <a:solidFill>
                <a:sysClr val="windowText" lastClr="000000"/>
              </a:solidFill>
              <a:effectLst/>
              <a:latin typeface="+mn-lt"/>
              <a:ea typeface="+mn-ea"/>
              <a:cs typeface="+mn-cs"/>
            </a:rPr>
            <a:t>   </a:t>
          </a:r>
        </a:p>
        <a:p>
          <a:r>
            <a:rPr lang="en-GB" sz="1100" i="0" baseline="0">
              <a:solidFill>
                <a:sysClr val="windowText" lastClr="000000"/>
              </a:solidFill>
              <a:effectLst/>
              <a:latin typeface="+mn-lt"/>
              <a:ea typeface="+mn-ea"/>
              <a:cs typeface="+mn-cs"/>
            </a:rPr>
            <a:t>i)   </a:t>
          </a:r>
          <a:r>
            <a:rPr lang="en-GB" sz="1100" i="0">
              <a:solidFill>
                <a:sysClr val="windowText" lastClr="000000"/>
              </a:solidFill>
              <a:effectLst/>
              <a:latin typeface="+mn-lt"/>
              <a:ea typeface="+mn-ea"/>
              <a:cs typeface="+mn-cs"/>
            </a:rPr>
            <a:t>The pay scales of 2008 and 2021 contracts are based on your pay point within the grade at 31 March 2021. </a:t>
          </a:r>
        </a:p>
        <a:p>
          <a:endParaRPr lang="en-GB" sz="1100" i="0">
            <a:solidFill>
              <a:sysClr val="windowText" lastClr="000000"/>
            </a:solidFill>
            <a:effectLst/>
            <a:latin typeface="+mn-lt"/>
            <a:ea typeface="+mn-ea"/>
            <a:cs typeface="+mn-cs"/>
          </a:endParaRPr>
        </a:p>
        <a:p>
          <a:r>
            <a:rPr lang="en-GB" sz="1100" i="0">
              <a:solidFill>
                <a:sysClr val="windowText" lastClr="000000"/>
              </a:solidFill>
              <a:effectLst/>
              <a:latin typeface="+mn-lt"/>
              <a:ea typeface="+mn-ea"/>
              <a:cs typeface="+mn-cs"/>
            </a:rPr>
            <a:t>ii)   For the purpose of this tool, the recent 3% pay award for</a:t>
          </a:r>
          <a:r>
            <a:rPr lang="en-GB" sz="1100" i="0" baseline="0">
              <a:solidFill>
                <a:sysClr val="windowText" lastClr="000000"/>
              </a:solidFill>
              <a:effectLst/>
              <a:latin typeface="+mn-lt"/>
              <a:ea typeface="+mn-ea"/>
              <a:cs typeface="+mn-cs"/>
            </a:rPr>
            <a:t> the 2008 contract</a:t>
          </a:r>
          <a:r>
            <a:rPr lang="en-GB" sz="1100" i="0">
              <a:solidFill>
                <a:sysClr val="windowText" lastClr="000000"/>
              </a:solidFill>
              <a:effectLst/>
              <a:latin typeface="+mn-lt"/>
              <a:ea typeface="+mn-ea"/>
              <a:cs typeface="+mn-cs"/>
            </a:rPr>
            <a:t> for 2021/22 has been applied to the salary at 31 March 2021.  </a:t>
          </a:r>
        </a:p>
        <a:p>
          <a:endParaRPr lang="en-GB" sz="1100" i="0">
            <a:solidFill>
              <a:sysClr val="windowText" lastClr="000000"/>
            </a:solidFill>
            <a:effectLst/>
            <a:latin typeface="+mn-lt"/>
            <a:ea typeface="+mn-ea"/>
            <a:cs typeface="+mn-cs"/>
          </a:endParaRPr>
        </a:p>
        <a:p>
          <a:pPr lvl="0"/>
          <a:r>
            <a:rPr lang="en-GB" sz="1100" i="0">
              <a:solidFill>
                <a:sysClr val="windowText" lastClr="000000"/>
              </a:solidFill>
              <a:effectLst/>
              <a:latin typeface="+mn-lt"/>
              <a:ea typeface="+mn-ea"/>
              <a:cs typeface="+mn-cs"/>
            </a:rPr>
            <a:t>iii)  This tool provides the option to select from a choice of assumed percentage increases (0%, 1% or 2%) for the 2008 contract only.  </a:t>
          </a:r>
        </a:p>
        <a:p>
          <a:pPr lvl="0"/>
          <a:endParaRPr lang="en-GB" sz="1100" i="0">
            <a:solidFill>
              <a:sysClr val="windowText" lastClr="000000"/>
            </a:solidFill>
            <a:effectLst/>
            <a:latin typeface="+mn-lt"/>
            <a:ea typeface="+mn-ea"/>
            <a:cs typeface="+mn-cs"/>
          </a:endParaRPr>
        </a:p>
        <a:p>
          <a:pPr lvl="0"/>
          <a:r>
            <a:rPr lang="en-GB" sz="1100" i="0">
              <a:solidFill>
                <a:sysClr val="windowText" lastClr="000000"/>
              </a:solidFill>
              <a:effectLst/>
              <a:latin typeface="+mn-lt"/>
              <a:ea typeface="+mn-ea"/>
              <a:cs typeface="+mn-cs"/>
            </a:rPr>
            <a:t>iv)  The salaries for the 2021 contract are based on the agreed salaries with no annual increase applied.</a:t>
          </a:r>
        </a:p>
        <a:p>
          <a:pPr lvl="0"/>
          <a:endParaRPr lang="en-GB" sz="1100" i="0">
            <a:solidFill>
              <a:sysClr val="windowText" lastClr="000000"/>
            </a:solidFill>
            <a:effectLst/>
            <a:latin typeface="+mn-lt"/>
            <a:ea typeface="+mn-ea"/>
            <a:cs typeface="+mn-cs"/>
          </a:endParaRPr>
        </a:p>
        <a:p>
          <a:pPr lvl="0"/>
          <a:r>
            <a:rPr lang="en-GB" sz="1100" i="0">
              <a:solidFill>
                <a:sysClr val="windowText" lastClr="000000"/>
              </a:solidFill>
              <a:effectLst/>
              <a:latin typeface="+mn-lt"/>
              <a:ea typeface="+mn-ea"/>
              <a:cs typeface="+mn-cs"/>
            </a:rPr>
            <a:t>v)   From 2024/25 the salaries shown are inclusive of progression but do not account for future pay awards. </a:t>
          </a:r>
        </a:p>
        <a:p>
          <a:pPr lvl="0"/>
          <a:r>
            <a:rPr lang="en-GB" sz="1100" i="0">
              <a:solidFill>
                <a:sysClr val="windowText" lastClr="000000"/>
              </a:solidFill>
              <a:effectLst/>
              <a:latin typeface="+mn-lt"/>
              <a:ea typeface="+mn-ea"/>
              <a:cs typeface="+mn-cs"/>
            </a:rPr>
            <a:t>      This tool assumes the progression date will be 1 October each year.</a:t>
          </a:r>
        </a:p>
        <a:p>
          <a:pPr lvl="0"/>
          <a:endParaRPr lang="en-GB" sz="1100" i="0">
            <a:solidFill>
              <a:sysClr val="windowText" lastClr="000000"/>
            </a:solidFill>
            <a:effectLst/>
            <a:latin typeface="+mn-lt"/>
            <a:ea typeface="+mn-ea"/>
            <a:cs typeface="+mn-cs"/>
          </a:endParaRPr>
        </a:p>
        <a:p>
          <a:pPr lvl="0"/>
          <a:r>
            <a:rPr lang="en-GB" sz="1100" i="0">
              <a:solidFill>
                <a:sysClr val="windowText" lastClr="000000"/>
              </a:solidFill>
              <a:effectLst/>
              <a:latin typeface="+mn-lt"/>
              <a:ea typeface="+mn-ea"/>
              <a:cs typeface="+mn-cs"/>
            </a:rPr>
            <a:t>vi) There may be some instances where the difference in the two salaries in slightly out ( +/- £1), this is due to calculation rounding. </a:t>
          </a:r>
        </a:p>
        <a:p>
          <a:pPr algn="l"/>
          <a:endParaRPr lang="en-GB" sz="1100" baseline="0">
            <a:solidFill>
              <a:sysClr val="windowText" lastClr="000000"/>
            </a:solidFill>
            <a:effectLst/>
            <a:latin typeface="+mn-lt"/>
            <a:ea typeface="+mn-ea"/>
            <a:cs typeface="+mn-cs"/>
          </a:endParaRPr>
        </a:p>
        <a:p>
          <a:pPr algn="l"/>
          <a:endParaRPr lang="en-GB" sz="1100">
            <a:solidFill>
              <a:sysClr val="windowText" lastClr="000000"/>
            </a:solidFill>
            <a:effectLst/>
            <a:latin typeface="+mn-lt"/>
            <a:ea typeface="+mn-ea"/>
            <a:cs typeface="+mn-cs"/>
          </a:endParaRPr>
        </a:p>
      </xdr:txBody>
    </xdr:sp>
    <xdr:clientData/>
  </xdr:twoCellAnchor>
  <xdr:twoCellAnchor>
    <xdr:from>
      <xdr:col>1</xdr:col>
      <xdr:colOff>19049</xdr:colOff>
      <xdr:row>88</xdr:row>
      <xdr:rowOff>95251</xdr:rowOff>
    </xdr:from>
    <xdr:to>
      <xdr:col>11</xdr:col>
      <xdr:colOff>19050</xdr:colOff>
      <xdr:row>108</xdr:row>
      <xdr:rowOff>123825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600075</xdr:colOff>
          <xdr:row>15</xdr:row>
          <xdr:rowOff>104775</xdr:rowOff>
        </xdr:from>
        <xdr:to>
          <xdr:col>5</xdr:col>
          <xdr:colOff>9525</xdr:colOff>
          <xdr:row>16</xdr:row>
          <xdr:rowOff>123825</xdr:rowOff>
        </xdr:to>
        <xdr:sp macro="" textlink="">
          <xdr:nvSpPr>
            <xdr:cNvPr id="4111" name="Drop Dow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104775</xdr:rowOff>
        </xdr:from>
        <xdr:to>
          <xdr:col>5</xdr:col>
          <xdr:colOff>19050</xdr:colOff>
          <xdr:row>19</xdr:row>
          <xdr:rowOff>142875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114300</xdr:rowOff>
        </xdr:from>
        <xdr:to>
          <xdr:col>5</xdr:col>
          <xdr:colOff>581025</xdr:colOff>
          <xdr:row>19</xdr:row>
          <xdr:rowOff>161925</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133350</xdr:rowOff>
        </xdr:from>
        <xdr:to>
          <xdr:col>6</xdr:col>
          <xdr:colOff>581025</xdr:colOff>
          <xdr:row>19</xdr:row>
          <xdr:rowOff>180975</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2%</a:t>
              </a:r>
            </a:p>
          </xdr:txBody>
        </xdr:sp>
        <xdr:clientData/>
      </xdr:twoCellAnchor>
    </mc:Choice>
    <mc:Fallback/>
  </mc:AlternateContent>
  <xdr:twoCellAnchor editAs="oneCell">
    <xdr:from>
      <xdr:col>11</xdr:col>
      <xdr:colOff>95250</xdr:colOff>
      <xdr:row>0</xdr:row>
      <xdr:rowOff>142875</xdr:rowOff>
    </xdr:from>
    <xdr:to>
      <xdr:col>13</xdr:col>
      <xdr:colOff>400050</xdr:colOff>
      <xdr:row>6</xdr:row>
      <xdr:rowOff>25854</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43750" y="142875"/>
          <a:ext cx="1524000" cy="1025979"/>
        </a:xfrm>
        <a:prstGeom prst="rect">
          <a:avLst/>
        </a:prstGeom>
        <a:noFill/>
        <a:ln>
          <a:noFill/>
        </a:ln>
      </xdr:spPr>
    </xdr:pic>
    <xdr:clientData/>
  </xdr:twoCellAnchor>
  <xdr:twoCellAnchor>
    <xdr:from>
      <xdr:col>1</xdr:col>
      <xdr:colOff>9524</xdr:colOff>
      <xdr:row>13</xdr:row>
      <xdr:rowOff>0</xdr:rowOff>
    </xdr:from>
    <xdr:to>
      <xdr:col>3</xdr:col>
      <xdr:colOff>533399</xdr:colOff>
      <xdr:row>14</xdr:row>
      <xdr:rowOff>9525</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409574" y="6410325"/>
          <a:ext cx="2371725" cy="28575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Link to NHS Wales Employers website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3.34886E-7</cdr:x>
      <cdr:y>0.01208</cdr:y>
    </cdr:from>
    <cdr:to>
      <cdr:x>1</cdr:x>
      <cdr:y>0.12991</cdr:y>
    </cdr:to>
    <cdr:sp macro="" textlink="Analysis!$A$14">
      <cdr:nvSpPr>
        <cdr:cNvPr id="2" name="TextBox 1">
          <a:extLst xmlns:a="http://schemas.openxmlformats.org/drawingml/2006/main">
            <a:ext uri="{FF2B5EF4-FFF2-40B4-BE49-F238E27FC236}">
              <a16:creationId xmlns:a16="http://schemas.microsoft.com/office/drawing/2014/main" id="{8E917F59-8AA3-4A03-A298-2568214A2712}"/>
            </a:ext>
          </a:extLst>
        </cdr:cNvPr>
        <cdr:cNvSpPr txBox="1"/>
      </cdr:nvSpPr>
      <cdr:spPr>
        <a:xfrm xmlns:a="http://schemas.openxmlformats.org/drawingml/2006/main">
          <a:off x="2" y="38100"/>
          <a:ext cx="5972173" cy="3714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E1BEE0-DE41-44BA-A679-DAB33B8F29FA}" type="TxLink">
            <a:rPr lang="en-US" sz="1200" b="0" i="0" u="none" strike="noStrike">
              <a:solidFill>
                <a:srgbClr val="000000"/>
              </a:solidFill>
              <a:latin typeface="Arial"/>
              <a:cs typeface="Arial"/>
            </a:rPr>
            <a:pPr algn="ctr"/>
            <a:t>Pay journey of both contracts based on pay point 1</a:t>
          </a:fld>
          <a:endParaRPr lang="en-GB" sz="1100" b="0"/>
        </a:p>
      </cdr:txBody>
    </cdr:sp>
  </cdr:relSizeAnchor>
</c:userShapes>
</file>

<file path=xl/drawings/drawing3.xml><?xml version="1.0" encoding="utf-8"?>
<c:userShapes xmlns:c="http://schemas.openxmlformats.org/drawingml/2006/chart">
  <cdr:relSizeAnchor xmlns:cdr="http://schemas.openxmlformats.org/drawingml/2006/chartDrawing">
    <cdr:from>
      <cdr:x>0</cdr:x>
      <cdr:y>0.01657</cdr:y>
    </cdr:from>
    <cdr:to>
      <cdr:x>1</cdr:x>
      <cdr:y>0.14641</cdr:y>
    </cdr:to>
    <cdr:sp macro="" textlink="Analysis!$A$22">
      <cdr:nvSpPr>
        <cdr:cNvPr id="2" name="TextBox 1">
          <a:extLst xmlns:a="http://schemas.openxmlformats.org/drawingml/2006/main">
            <a:ext uri="{FF2B5EF4-FFF2-40B4-BE49-F238E27FC236}">
              <a16:creationId xmlns:a16="http://schemas.microsoft.com/office/drawing/2014/main" id="{EB89426C-6D47-462B-99AB-319CCA8897C3}"/>
            </a:ext>
          </a:extLst>
        </cdr:cNvPr>
        <cdr:cNvSpPr txBox="1"/>
      </cdr:nvSpPr>
      <cdr:spPr>
        <a:xfrm xmlns:a="http://schemas.openxmlformats.org/drawingml/2006/main">
          <a:off x="0" y="57150"/>
          <a:ext cx="5953125" cy="4476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8337A5C-7262-43DE-8145-5491909F0C7C}" type="TxLink">
            <a:rPr lang="en-US" sz="1200" b="0" i="0" u="none" strike="noStrike">
              <a:solidFill>
                <a:srgbClr val="000000"/>
              </a:solidFill>
              <a:latin typeface="Arial"/>
              <a:cs typeface="Arial"/>
            </a:rPr>
            <a:pPr algn="ctr"/>
            <a:t>Annual financial difference of changing contracts based on pay point 1</a:t>
          </a:fld>
          <a:endParaRPr lang="en-GB" sz="1100"/>
        </a:p>
      </cdr:txBody>
    </cdr:sp>
  </cdr:relSizeAnchor>
</c:userShapes>
</file>

<file path=xl/drawings/drawing4.xml><?xml version="1.0" encoding="utf-8"?>
<c:userShapes xmlns:c="http://schemas.openxmlformats.org/drawingml/2006/chart">
  <cdr:relSizeAnchor xmlns:cdr="http://schemas.openxmlformats.org/drawingml/2006/chartDrawing">
    <cdr:from>
      <cdr:x>0.13754</cdr:x>
      <cdr:y>0.04218</cdr:y>
    </cdr:from>
    <cdr:to>
      <cdr:x>0.851</cdr:x>
      <cdr:y>0.20844</cdr:y>
    </cdr:to>
    <cdr:sp macro="" textlink="Analysis!$E$32">
      <cdr:nvSpPr>
        <cdr:cNvPr id="2" name="TextBox 1">
          <a:extLst xmlns:a="http://schemas.openxmlformats.org/drawingml/2006/main">
            <a:ext uri="{FF2B5EF4-FFF2-40B4-BE49-F238E27FC236}">
              <a16:creationId xmlns:a16="http://schemas.microsoft.com/office/drawing/2014/main" id="{6E963A1F-F4B7-42C0-AC33-25255FC8B47E}"/>
            </a:ext>
          </a:extLst>
        </cdr:cNvPr>
        <cdr:cNvSpPr txBox="1"/>
      </cdr:nvSpPr>
      <cdr:spPr>
        <a:xfrm xmlns:a="http://schemas.openxmlformats.org/drawingml/2006/main">
          <a:off x="970012" y="153933"/>
          <a:ext cx="5031737" cy="6067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0D1EA3C-D829-4C78-BF15-AECE50DD8167}" type="TxLink">
            <a:rPr lang="en-US" sz="1200" b="0" i="0" u="none" strike="noStrike">
              <a:solidFill>
                <a:srgbClr val="000000"/>
              </a:solidFill>
              <a:latin typeface="Arial" panose="020B0604020202020204" pitchFamily="34" charset="0"/>
              <a:cs typeface="Arial" panose="020B0604020202020204" pitchFamily="34" charset="0"/>
            </a:rPr>
            <a:pPr algn="ctr"/>
            <a:t>Cumulative basic salary earning from 21/22 on both contracts based on pay point 1
(assuming 01 October progression date each year)</a:t>
          </a:fld>
          <a:endParaRPr lang="en-GB" sz="12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HEIW">
      <a:dk1>
        <a:sysClr val="windowText" lastClr="000000"/>
      </a:dk1>
      <a:lt1>
        <a:sysClr val="window" lastClr="FFFFFF"/>
      </a:lt1>
      <a:dk2>
        <a:srgbClr val="44546A"/>
      </a:dk2>
      <a:lt2>
        <a:srgbClr val="E7E6E6"/>
      </a:lt2>
      <a:accent1>
        <a:srgbClr val="489CC9"/>
      </a:accent1>
      <a:accent2>
        <a:srgbClr val="575756"/>
      </a:accent2>
      <a:accent3>
        <a:srgbClr val="325083"/>
      </a:accent3>
      <a:accent4>
        <a:srgbClr val="00917F"/>
      </a:accent4>
      <a:accent5>
        <a:srgbClr val="A3195B"/>
      </a:accent5>
      <a:accent6>
        <a:srgbClr val="E6332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hsconfed.org/networks-countries/welsh-nhs-confederation/nhs-wales-employers/sas-contract-reform-202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6DEF-6390-4B09-AC27-720CD122DD08}">
  <sheetPr codeName="Sheet1"/>
  <dimension ref="A7:N44"/>
  <sheetViews>
    <sheetView showGridLines="0" tabSelected="1" workbookViewId="0">
      <selection activeCell="A6" sqref="A6"/>
    </sheetView>
  </sheetViews>
  <sheetFormatPr defaultColWidth="0" defaultRowHeight="15" x14ac:dyDescent="0.25"/>
  <cols>
    <col min="1" max="1" width="6" customWidth="1"/>
    <col min="2" max="2" width="18.5703125" customWidth="1"/>
    <col min="3" max="14" width="9.140625" customWidth="1"/>
    <col min="15" max="16384" width="9.140625" hidden="1"/>
  </cols>
  <sheetData>
    <row r="7" spans="5:5" ht="73.5" customHeight="1" x14ac:dyDescent="0.25"/>
    <row r="8" spans="5:5" ht="73.5" customHeight="1" x14ac:dyDescent="0.25"/>
    <row r="9" spans="5:5" ht="73.5" customHeight="1" x14ac:dyDescent="0.25"/>
    <row r="10" spans="5:5" ht="73.5" customHeight="1" x14ac:dyDescent="0.25"/>
    <row r="11" spans="5:5" ht="73.5" customHeight="1" x14ac:dyDescent="0.25"/>
    <row r="12" spans="5:5" ht="16.5" customHeight="1" x14ac:dyDescent="0.25"/>
    <row r="13" spans="5:5" ht="30.75" customHeight="1" x14ac:dyDescent="0.25"/>
    <row r="14" spans="5:5" ht="21.75" customHeight="1" x14ac:dyDescent="0.25">
      <c r="E14" s="122" t="s">
        <v>55</v>
      </c>
    </row>
    <row r="21" spans="2:8" ht="27.75" customHeight="1" x14ac:dyDescent="0.25"/>
    <row r="22" spans="2:8" x14ac:dyDescent="0.25">
      <c r="B22" s="123" t="s">
        <v>52</v>
      </c>
      <c r="C22" s="123"/>
      <c r="D22" s="123"/>
      <c r="E22" s="123"/>
    </row>
    <row r="23" spans="2:8" ht="30" x14ac:dyDescent="0.25">
      <c r="B23" s="54"/>
      <c r="C23" s="55" t="str">
        <f>Analysis!B33</f>
        <v>2008 Contract</v>
      </c>
      <c r="D23" s="55" t="str">
        <f>Analysis!C33</f>
        <v>2021 Contract</v>
      </c>
      <c r="E23" s="58" t="s">
        <v>19</v>
      </c>
    </row>
    <row r="24" spans="2:8" x14ac:dyDescent="0.25">
      <c r="B24" s="47" t="str">
        <f>Analysis!A34</f>
        <v>Salary 31 Mar 21</v>
      </c>
      <c r="C24" s="51">
        <f>Analysis!B34</f>
        <v>41360</v>
      </c>
      <c r="D24" s="51">
        <f>Analysis!C34</f>
        <v>41360</v>
      </c>
      <c r="E24" s="48">
        <f>D24-C24</f>
        <v>0</v>
      </c>
      <c r="G24" s="51"/>
      <c r="H24" s="53" t="s">
        <v>25</v>
      </c>
    </row>
    <row r="25" spans="2:8" x14ac:dyDescent="0.25">
      <c r="B25" s="47" t="str">
        <f>Analysis!A35</f>
        <v>21/22 Wage Award</v>
      </c>
      <c r="C25" s="65">
        <f>Analysis!B35</f>
        <v>42601</v>
      </c>
      <c r="D25" s="65">
        <f>Analysis!C35</f>
        <v>45345</v>
      </c>
      <c r="E25" s="48">
        <f t="shared" ref="E25:E30" si="0">D25-C25</f>
        <v>2744</v>
      </c>
      <c r="G25" s="65"/>
      <c r="H25" s="53" t="s">
        <v>26</v>
      </c>
    </row>
    <row r="26" spans="2:8" x14ac:dyDescent="0.25">
      <c r="B26" s="47" t="str">
        <f>Analysis!A36</f>
        <v>21/22 Progression</v>
      </c>
      <c r="C26" s="52">
        <f>Analysis!B36</f>
        <v>46242.879999999997</v>
      </c>
      <c r="D26" s="52">
        <f>Analysis!C36</f>
        <v>46242.879999999997</v>
      </c>
      <c r="E26" s="48">
        <f t="shared" si="0"/>
        <v>0</v>
      </c>
      <c r="G26" s="52"/>
      <c r="H26" s="53" t="s">
        <v>27</v>
      </c>
    </row>
    <row r="27" spans="2:8" x14ac:dyDescent="0.25">
      <c r="B27" s="47" t="str">
        <f>Analysis!A37</f>
        <v>22/23 Wage Award</v>
      </c>
      <c r="C27" s="65">
        <f>Analysis!B37</f>
        <v>46705.308799999999</v>
      </c>
      <c r="D27" s="65">
        <f>Analysis!C37</f>
        <v>50619.571075237116</v>
      </c>
      <c r="E27" s="48">
        <f t="shared" si="0"/>
        <v>3914.2622752371171</v>
      </c>
      <c r="H27" s="53"/>
    </row>
    <row r="28" spans="2:8" x14ac:dyDescent="0.25">
      <c r="B28" s="47" t="str">
        <f>Analysis!A38</f>
        <v>22/23 Progression</v>
      </c>
      <c r="C28" s="52">
        <f>Analysis!B38</f>
        <v>51488.608200000002</v>
      </c>
      <c r="D28" s="52">
        <f>Analysis!C38</f>
        <v>50619.500099990037</v>
      </c>
      <c r="E28" s="48">
        <f t="shared" si="0"/>
        <v>-869.10810000996571</v>
      </c>
    </row>
    <row r="29" spans="2:8" x14ac:dyDescent="0.25">
      <c r="B29" s="47" t="str">
        <f>Analysis!A39</f>
        <v>23/24 Wage Award</v>
      </c>
      <c r="C29" s="65">
        <f>Analysis!B39</f>
        <v>52003.494282</v>
      </c>
      <c r="D29" s="65">
        <f>Analysis!C39</f>
        <v>51000</v>
      </c>
      <c r="E29" s="48">
        <f t="shared" si="0"/>
        <v>-1003.4942819999997</v>
      </c>
    </row>
    <row r="30" spans="2:8" x14ac:dyDescent="0.25">
      <c r="B30" s="47" t="str">
        <f>Analysis!A40</f>
        <v>23/24 Progression</v>
      </c>
      <c r="C30" s="52">
        <f>Analysis!B40</f>
        <v>54591.671600000001</v>
      </c>
      <c r="D30" s="52">
        <f>Analysis!C40</f>
        <v>58756</v>
      </c>
      <c r="E30" s="48">
        <f t="shared" si="0"/>
        <v>4164.3283999999985</v>
      </c>
    </row>
    <row r="31" spans="2:8" x14ac:dyDescent="0.25">
      <c r="B31" s="47" t="str">
        <f>Analysis!A41</f>
        <v>24/25</v>
      </c>
      <c r="C31" s="52">
        <f>Analysis!B41</f>
        <v>58320.320717999995</v>
      </c>
      <c r="D31" s="52">
        <f>Analysis!C41</f>
        <v>58756</v>
      </c>
      <c r="E31" s="48">
        <f t="shared" ref="E31:E44" si="1">D31-C31</f>
        <v>435.6792820000046</v>
      </c>
    </row>
    <row r="32" spans="2:8" x14ac:dyDescent="0.25">
      <c r="B32" s="47" t="str">
        <f>Analysis!A42</f>
        <v>25/26</v>
      </c>
      <c r="C32" s="52">
        <f>Analysis!B42</f>
        <v>62037.707931999998</v>
      </c>
      <c r="D32" s="52">
        <f>Analysis!C42</f>
        <v>58756</v>
      </c>
      <c r="E32" s="48">
        <f t="shared" si="1"/>
        <v>-3281.7079319999975</v>
      </c>
    </row>
    <row r="33" spans="2:5" x14ac:dyDescent="0.25">
      <c r="B33" s="47" t="str">
        <f>Analysis!A43</f>
        <v>26/27</v>
      </c>
      <c r="C33" s="52">
        <f>Analysis!B43</f>
        <v>62037.381500000003</v>
      </c>
      <c r="D33" s="52">
        <f>Analysis!C43</f>
        <v>65500</v>
      </c>
      <c r="E33" s="48">
        <f t="shared" si="1"/>
        <v>3462.6184999999969</v>
      </c>
    </row>
    <row r="34" spans="2:5" x14ac:dyDescent="0.25">
      <c r="B34" s="47" t="str">
        <f>Analysis!A44</f>
        <v>27/28</v>
      </c>
      <c r="C34" s="52">
        <f>Analysis!B44</f>
        <v>65834.948573999995</v>
      </c>
      <c r="D34" s="52">
        <f>Analysis!C44</f>
        <v>65500</v>
      </c>
      <c r="E34" s="48">
        <f t="shared" si="1"/>
        <v>-334.94857399999455</v>
      </c>
    </row>
    <row r="35" spans="2:5" x14ac:dyDescent="0.25">
      <c r="B35" s="47" t="str">
        <f>Analysis!A45</f>
        <v>28/29</v>
      </c>
      <c r="C35" s="52">
        <f>Analysis!B45</f>
        <v>65834.948573999995</v>
      </c>
      <c r="D35" s="52">
        <f>Analysis!C45</f>
        <v>65500</v>
      </c>
      <c r="E35" s="48">
        <f t="shared" si="1"/>
        <v>-334.94857399999455</v>
      </c>
    </row>
    <row r="36" spans="2:5" x14ac:dyDescent="0.25">
      <c r="B36" s="47" t="str">
        <f>Analysis!A46</f>
        <v>29/30</v>
      </c>
      <c r="C36" s="52">
        <f>Analysis!B46</f>
        <v>69636.392028000002</v>
      </c>
      <c r="D36" s="52">
        <f>Analysis!C46</f>
        <v>72500</v>
      </c>
      <c r="E36" s="48">
        <f t="shared" si="1"/>
        <v>2863.607971999998</v>
      </c>
    </row>
    <row r="37" spans="2:5" x14ac:dyDescent="0.25">
      <c r="B37" s="47" t="str">
        <f>Analysis!A47</f>
        <v>30/31</v>
      </c>
      <c r="C37" s="52">
        <f>Analysis!B47</f>
        <v>69636.392028000002</v>
      </c>
      <c r="D37" s="52">
        <f>Analysis!C47</f>
        <v>72500</v>
      </c>
      <c r="E37" s="48">
        <f t="shared" si="1"/>
        <v>2863.607971999998</v>
      </c>
    </row>
    <row r="38" spans="2:5" x14ac:dyDescent="0.25">
      <c r="B38" s="47" t="str">
        <f>Analysis!A48</f>
        <v>31/32</v>
      </c>
      <c r="C38" s="52">
        <f>Analysis!B48</f>
        <v>73437.83548200001</v>
      </c>
      <c r="D38" s="52">
        <f>Analysis!C48</f>
        <v>72500</v>
      </c>
      <c r="E38" s="48">
        <f t="shared" si="1"/>
        <v>-937.83548200000951</v>
      </c>
    </row>
    <row r="39" spans="2:5" x14ac:dyDescent="0.25">
      <c r="B39" s="47" t="str">
        <f>Analysis!A49</f>
        <v>32/33</v>
      </c>
      <c r="C39" s="52">
        <f>Analysis!B49</f>
        <v>73437.83548200001</v>
      </c>
      <c r="D39" s="52">
        <f>Analysis!C49</f>
        <v>80000</v>
      </c>
      <c r="E39" s="48">
        <f t="shared" si="1"/>
        <v>6562.1645179999905</v>
      </c>
    </row>
    <row r="40" spans="2:5" x14ac:dyDescent="0.25">
      <c r="B40" s="47" t="str">
        <f>Analysis!A50</f>
        <v>33/34</v>
      </c>
      <c r="C40" s="52">
        <f>Analysis!B50</f>
        <v>73437.83548200001</v>
      </c>
      <c r="D40" s="52">
        <f>Analysis!C50</f>
        <v>80000</v>
      </c>
      <c r="E40" s="48">
        <f t="shared" si="1"/>
        <v>6562.1645179999905</v>
      </c>
    </row>
    <row r="41" spans="2:5" x14ac:dyDescent="0.25">
      <c r="B41" s="47" t="str">
        <f>Analysis!A51</f>
        <v>34/35</v>
      </c>
      <c r="C41" s="52">
        <f>Analysis!B51</f>
        <v>77237.177530000015</v>
      </c>
      <c r="D41" s="52">
        <f>Analysis!C51</f>
        <v>80000</v>
      </c>
      <c r="E41" s="48">
        <f t="shared" si="1"/>
        <v>2762.8224699999846</v>
      </c>
    </row>
    <row r="42" spans="2:5" x14ac:dyDescent="0.25">
      <c r="B42" s="47" t="str">
        <f>Analysis!A52</f>
        <v>35/36</v>
      </c>
      <c r="C42" s="52">
        <f>Analysis!B52</f>
        <v>77237.177530000015</v>
      </c>
      <c r="D42" s="52">
        <f>Analysis!C52</f>
        <v>80000</v>
      </c>
      <c r="E42" s="48">
        <f t="shared" si="1"/>
        <v>2762.8224699999846</v>
      </c>
    </row>
    <row r="43" spans="2:5" x14ac:dyDescent="0.25">
      <c r="B43" s="47" t="str">
        <f>Analysis!A53</f>
        <v>36/37</v>
      </c>
      <c r="C43" s="52">
        <f>Analysis!B53</f>
        <v>77237.177530000015</v>
      </c>
      <c r="D43" s="52">
        <f>Analysis!C53</f>
        <v>80000</v>
      </c>
      <c r="E43" s="48">
        <f t="shared" si="1"/>
        <v>2762.8224699999846</v>
      </c>
    </row>
    <row r="44" spans="2:5" x14ac:dyDescent="0.25">
      <c r="B44" s="47" t="str">
        <f>Analysis!A54</f>
        <v>37/38</v>
      </c>
      <c r="C44" s="52">
        <f>Analysis!B54</f>
        <v>81036.519578000007</v>
      </c>
      <c r="D44" s="52">
        <f>Analysis!C54</f>
        <v>80000</v>
      </c>
      <c r="E44" s="48">
        <f t="shared" si="1"/>
        <v>-1036.5195780000067</v>
      </c>
    </row>
  </sheetData>
  <mergeCells count="1">
    <mergeCell ref="B22:E22"/>
  </mergeCells>
  <hyperlinks>
    <hyperlink ref="E14" r:id="rId1" xr:uid="{D7BF4152-AE2F-4713-BC09-06FF960865E3}"/>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Group Box 2">
              <controlPr defaultSize="0" autoFill="0" autoPict="0">
                <anchor moveWithCells="1">
                  <from>
                    <xdr:col>2</xdr:col>
                    <xdr:colOff>9525</xdr:colOff>
                    <xdr:row>46</xdr:row>
                    <xdr:rowOff>161925</xdr:rowOff>
                  </from>
                  <to>
                    <xdr:col>5</xdr:col>
                    <xdr:colOff>104775</xdr:colOff>
                    <xdr:row>49</xdr:row>
                    <xdr:rowOff>142875</xdr:rowOff>
                  </to>
                </anchor>
              </controlPr>
            </control>
          </mc:Choice>
        </mc:AlternateContent>
        <mc:AlternateContent xmlns:mc="http://schemas.openxmlformats.org/markup-compatibility/2006">
          <mc:Choice Requires="x14">
            <control shapeId="4111" r:id="rId6" name="Drop Down 15">
              <controlPr defaultSize="0" autoLine="0" autoPict="0">
                <anchor moveWithCells="1">
                  <from>
                    <xdr:col>3</xdr:col>
                    <xdr:colOff>600075</xdr:colOff>
                    <xdr:row>15</xdr:row>
                    <xdr:rowOff>104775</xdr:rowOff>
                  </from>
                  <to>
                    <xdr:col>5</xdr:col>
                    <xdr:colOff>9525</xdr:colOff>
                    <xdr:row>16</xdr:row>
                    <xdr:rowOff>123825</xdr:rowOff>
                  </to>
                </anchor>
              </controlPr>
            </control>
          </mc:Choice>
        </mc:AlternateContent>
        <mc:AlternateContent xmlns:mc="http://schemas.openxmlformats.org/markup-compatibility/2006">
          <mc:Choice Requires="x14">
            <control shapeId="4119" r:id="rId7" name="Option Button 23">
              <controlPr defaultSize="0" autoFill="0" autoLine="0" autoPict="0">
                <anchor moveWithCells="1">
                  <from>
                    <xdr:col>4</xdr:col>
                    <xdr:colOff>66675</xdr:colOff>
                    <xdr:row>18</xdr:row>
                    <xdr:rowOff>104775</xdr:rowOff>
                  </from>
                  <to>
                    <xdr:col>5</xdr:col>
                    <xdr:colOff>19050</xdr:colOff>
                    <xdr:row>19</xdr:row>
                    <xdr:rowOff>142875</xdr:rowOff>
                  </to>
                </anchor>
              </controlPr>
            </control>
          </mc:Choice>
        </mc:AlternateContent>
        <mc:AlternateContent xmlns:mc="http://schemas.openxmlformats.org/markup-compatibility/2006">
          <mc:Choice Requires="x14">
            <control shapeId="4121" r:id="rId8" name="Option Button 25">
              <controlPr defaultSize="0" autoFill="0" autoLine="0" autoPict="0">
                <anchor moveWithCells="1">
                  <from>
                    <xdr:col>5</xdr:col>
                    <xdr:colOff>76200</xdr:colOff>
                    <xdr:row>18</xdr:row>
                    <xdr:rowOff>114300</xdr:rowOff>
                  </from>
                  <to>
                    <xdr:col>5</xdr:col>
                    <xdr:colOff>581025</xdr:colOff>
                    <xdr:row>19</xdr:row>
                    <xdr:rowOff>161925</xdr:rowOff>
                  </to>
                </anchor>
              </controlPr>
            </control>
          </mc:Choice>
        </mc:AlternateContent>
        <mc:AlternateContent xmlns:mc="http://schemas.openxmlformats.org/markup-compatibility/2006">
          <mc:Choice Requires="x14">
            <control shapeId="4122" r:id="rId9" name="Option Button 26">
              <controlPr defaultSize="0" autoFill="0" autoLine="0" autoPict="0">
                <anchor moveWithCells="1">
                  <from>
                    <xdr:col>6</xdr:col>
                    <xdr:colOff>76200</xdr:colOff>
                    <xdr:row>18</xdr:row>
                    <xdr:rowOff>133350</xdr:rowOff>
                  </from>
                  <to>
                    <xdr:col>6</xdr:col>
                    <xdr:colOff>581025</xdr:colOff>
                    <xdr:row>19</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B524-C38B-495B-BB25-3E69E3C42A90}">
  <sheetPr codeName="Sheet2"/>
  <dimension ref="A1:W50"/>
  <sheetViews>
    <sheetView showGridLines="0" topLeftCell="B1" workbookViewId="0">
      <selection activeCell="D23" sqref="D23"/>
    </sheetView>
  </sheetViews>
  <sheetFormatPr defaultColWidth="9.140625" defaultRowHeight="15" zeroHeight="1" x14ac:dyDescent="0.25"/>
  <cols>
    <col min="1" max="1" width="10.85546875" style="101" hidden="1" customWidth="1"/>
    <col min="2" max="2" width="10.85546875" customWidth="1"/>
    <col min="3" max="3" width="9.140625" customWidth="1"/>
    <col min="4" max="4" width="12.28515625" customWidth="1"/>
    <col min="5" max="5" width="11.7109375" customWidth="1"/>
    <col min="6" max="6" width="10.85546875" customWidth="1"/>
    <col min="7" max="7" width="11.140625" customWidth="1"/>
    <col min="8" max="8" width="12.42578125" customWidth="1"/>
    <col min="9" max="9" width="10.42578125" customWidth="1"/>
    <col min="10" max="23" width="9.140625" customWidth="1"/>
    <col min="24" max="24" width="8" customWidth="1"/>
    <col min="25" max="25" width="9.140625" customWidth="1"/>
  </cols>
  <sheetData>
    <row r="1" spans="1:23" ht="78" customHeight="1" thickBot="1" x14ac:dyDescent="0.3">
      <c r="A1" s="124" t="str">
        <f>"Journey through the pay points based on starting year of experience at 20/21 and progression on an annual basis.
Salaries include the agreed 3% wage award for 21/22 and a counterfactual "&amp;(Analysis!C5*100)&amp;"% wage award for 22/23 &amp; 23/24.  
(Salaries from 24/25 onwards are based on the salaries at 23/24)."</f>
        <v>Journey through the pay points based on starting year of experience at 20/21 and progression on an annual basis.
Salaries include the agreed 3% wage award for 21/22 and a counterfactual 1% wage award for 22/23 &amp; 23/24.  
(Salaries from 24/25 onwards are based on the salaries at 23/24).</v>
      </c>
      <c r="B1" s="125"/>
      <c r="C1" s="125"/>
      <c r="D1" s="125"/>
      <c r="E1" s="125"/>
      <c r="F1" s="125"/>
      <c r="G1" s="125"/>
      <c r="H1" s="125"/>
      <c r="I1" s="125"/>
      <c r="J1" s="125"/>
      <c r="K1" s="125"/>
      <c r="L1" s="125"/>
      <c r="M1" s="125"/>
      <c r="N1" s="125"/>
      <c r="O1" s="125"/>
      <c r="P1" s="125"/>
      <c r="Q1" s="125"/>
      <c r="R1" s="125"/>
      <c r="S1" s="125"/>
      <c r="T1" s="125"/>
      <c r="U1" s="125"/>
      <c r="V1" s="125"/>
      <c r="W1" s="126"/>
    </row>
    <row r="2" spans="1:23" ht="45.75" thickBot="1" x14ac:dyDescent="0.3">
      <c r="A2" s="100" t="s">
        <v>0</v>
      </c>
      <c r="B2" s="113" t="s">
        <v>0</v>
      </c>
      <c r="C2" s="1" t="s">
        <v>36</v>
      </c>
      <c r="D2" s="59" t="s">
        <v>37</v>
      </c>
      <c r="E2" s="62" t="s">
        <v>49</v>
      </c>
      <c r="F2" s="60" t="s">
        <v>38</v>
      </c>
      <c r="G2" s="61" t="s">
        <v>50</v>
      </c>
      <c r="H2" s="61" t="s">
        <v>39</v>
      </c>
      <c r="I2" s="64" t="s">
        <v>51</v>
      </c>
      <c r="J2" s="3" t="s">
        <v>1</v>
      </c>
      <c r="K2" s="2" t="s">
        <v>2</v>
      </c>
      <c r="L2" s="3" t="s">
        <v>3</v>
      </c>
      <c r="M2" s="2" t="s">
        <v>4</v>
      </c>
      <c r="N2" s="3" t="s">
        <v>5</v>
      </c>
      <c r="O2" s="2" t="s">
        <v>6</v>
      </c>
      <c r="P2" s="3" t="s">
        <v>7</v>
      </c>
      <c r="Q2" s="2" t="s">
        <v>8</v>
      </c>
      <c r="R2" s="3" t="s">
        <v>9</v>
      </c>
      <c r="S2" s="2" t="s">
        <v>10</v>
      </c>
      <c r="T2" s="3" t="s">
        <v>11</v>
      </c>
      <c r="U2" s="2" t="s">
        <v>12</v>
      </c>
      <c r="V2" s="3" t="s">
        <v>13</v>
      </c>
      <c r="W2" s="4" t="s">
        <v>14</v>
      </c>
    </row>
    <row r="3" spans="1:23" x14ac:dyDescent="0.25">
      <c r="A3" s="114">
        <v>1</v>
      </c>
      <c r="B3" s="97">
        <v>1</v>
      </c>
      <c r="C3" s="115">
        <v>41360</v>
      </c>
      <c r="D3" s="92">
        <v>42601</v>
      </c>
      <c r="E3" s="5">
        <f>D4</f>
        <v>46242.879999999997</v>
      </c>
      <c r="F3" s="5">
        <f>E3*WageAward+'Pay Tables'!E3</f>
        <v>46705.308799999999</v>
      </c>
      <c r="G3" s="5">
        <f>F4</f>
        <v>51488.608200000002</v>
      </c>
      <c r="H3" s="5">
        <f t="shared" ref="H3:H20" si="0">G3+(G3*WageAward)</f>
        <v>52003.494282</v>
      </c>
      <c r="I3" s="38">
        <f t="shared" ref="I3:W3" si="1">H4</f>
        <v>54591.671600000001</v>
      </c>
      <c r="J3" s="74">
        <f t="shared" si="1"/>
        <v>58320.320717999995</v>
      </c>
      <c r="K3" s="7">
        <f t="shared" si="1"/>
        <v>62037.707931999998</v>
      </c>
      <c r="L3" s="7">
        <f t="shared" si="1"/>
        <v>62037.381500000003</v>
      </c>
      <c r="M3" s="7">
        <f t="shared" si="1"/>
        <v>65834.948573999995</v>
      </c>
      <c r="N3" s="7">
        <f t="shared" si="1"/>
        <v>65834.948573999995</v>
      </c>
      <c r="O3" s="7">
        <f t="shared" si="1"/>
        <v>69636.392028000002</v>
      </c>
      <c r="P3" s="7">
        <f t="shared" si="1"/>
        <v>69636.392028000002</v>
      </c>
      <c r="Q3" s="7">
        <f t="shared" si="1"/>
        <v>73437.83548200001</v>
      </c>
      <c r="R3" s="7">
        <f t="shared" si="1"/>
        <v>73437.83548200001</v>
      </c>
      <c r="S3" s="7">
        <f t="shared" si="1"/>
        <v>73437.83548200001</v>
      </c>
      <c r="T3" s="7">
        <f t="shared" si="1"/>
        <v>77237.177530000015</v>
      </c>
      <c r="U3" s="7">
        <f t="shared" si="1"/>
        <v>77237.177530000015</v>
      </c>
      <c r="V3" s="7">
        <f t="shared" si="1"/>
        <v>77237.177530000015</v>
      </c>
      <c r="W3" s="8">
        <f t="shared" si="1"/>
        <v>81036.519578000007</v>
      </c>
    </row>
    <row r="4" spans="1:23" x14ac:dyDescent="0.25">
      <c r="A4" s="102">
        <v>2</v>
      </c>
      <c r="B4" s="98">
        <v>2</v>
      </c>
      <c r="C4" s="116">
        <v>44896</v>
      </c>
      <c r="D4" s="90">
        <f>C4*Analysis!$C$2+'Pay Tables'!C4</f>
        <v>46242.879999999997</v>
      </c>
      <c r="E4" s="10">
        <f t="shared" ref="E4:E19" si="2">D5</f>
        <v>50978.82</v>
      </c>
      <c r="F4" s="10">
        <f>E4*WageAward+'Pay Tables'!E4</f>
        <v>51488.608200000002</v>
      </c>
      <c r="G4" s="10">
        <f t="shared" ref="G4:G19" si="3">F5</f>
        <v>54051.16</v>
      </c>
      <c r="H4" s="10">
        <f t="shared" si="0"/>
        <v>54591.671600000001</v>
      </c>
      <c r="I4" s="39">
        <f t="shared" ref="I4:W19" si="4">H5</f>
        <v>58320.320717999995</v>
      </c>
      <c r="J4" s="75">
        <f t="shared" si="4"/>
        <v>62037.707931999998</v>
      </c>
      <c r="K4" s="11">
        <f t="shared" si="4"/>
        <v>62037.381500000003</v>
      </c>
      <c r="L4" s="11">
        <f t="shared" si="4"/>
        <v>65834.948573999995</v>
      </c>
      <c r="M4" s="11">
        <f t="shared" si="4"/>
        <v>65834.948573999995</v>
      </c>
      <c r="N4" s="11">
        <f t="shared" si="4"/>
        <v>69636.392028000002</v>
      </c>
      <c r="O4" s="11">
        <f t="shared" si="4"/>
        <v>69636.392028000002</v>
      </c>
      <c r="P4" s="11">
        <f t="shared" si="4"/>
        <v>73437.83548200001</v>
      </c>
      <c r="Q4" s="11">
        <f t="shared" si="4"/>
        <v>73437.83548200001</v>
      </c>
      <c r="R4" s="11">
        <f t="shared" si="4"/>
        <v>73437.83548200001</v>
      </c>
      <c r="S4" s="11">
        <f t="shared" si="4"/>
        <v>77237.177530000015</v>
      </c>
      <c r="T4" s="11">
        <f t="shared" si="4"/>
        <v>77237.177530000015</v>
      </c>
      <c r="U4" s="11">
        <f t="shared" si="4"/>
        <v>77237.177530000015</v>
      </c>
      <c r="V4" s="12">
        <f t="shared" si="4"/>
        <v>81036.519578000007</v>
      </c>
      <c r="W4" s="20">
        <f t="shared" si="4"/>
        <v>81036.519578000007</v>
      </c>
    </row>
    <row r="5" spans="1:23" x14ac:dyDescent="0.25">
      <c r="A5" s="102">
        <v>3</v>
      </c>
      <c r="B5" s="98">
        <v>3</v>
      </c>
      <c r="C5" s="117">
        <v>49494</v>
      </c>
      <c r="D5" s="93">
        <f>C5*Analysis!$C$2+'Pay Tables'!C5</f>
        <v>50978.82</v>
      </c>
      <c r="E5" s="14">
        <v>53516</v>
      </c>
      <c r="F5" s="15">
        <f>E5*WageAward+'Pay Tables'!E5</f>
        <v>54051.16</v>
      </c>
      <c r="G5" s="15">
        <f t="shared" si="3"/>
        <v>57742.891799999998</v>
      </c>
      <c r="H5" s="15">
        <f t="shared" si="0"/>
        <v>58320.320717999995</v>
      </c>
      <c r="I5" s="40">
        <f t="shared" si="4"/>
        <v>62037.707931999998</v>
      </c>
      <c r="J5" s="75">
        <f t="shared" si="4"/>
        <v>62037.381500000003</v>
      </c>
      <c r="K5" s="11">
        <f t="shared" si="4"/>
        <v>65834.948573999995</v>
      </c>
      <c r="L5" s="11">
        <f t="shared" si="4"/>
        <v>65834.948573999995</v>
      </c>
      <c r="M5" s="11">
        <f t="shared" si="4"/>
        <v>69636.392028000002</v>
      </c>
      <c r="N5" s="11">
        <f t="shared" si="4"/>
        <v>69636.392028000002</v>
      </c>
      <c r="O5" s="11">
        <f t="shared" si="4"/>
        <v>73437.83548200001</v>
      </c>
      <c r="P5" s="11">
        <f t="shared" si="4"/>
        <v>73437.83548200001</v>
      </c>
      <c r="Q5" s="11">
        <f t="shared" si="4"/>
        <v>73437.83548200001</v>
      </c>
      <c r="R5" s="11">
        <f t="shared" si="4"/>
        <v>77237.177530000015</v>
      </c>
      <c r="S5" s="11">
        <f t="shared" si="4"/>
        <v>77237.177530000015</v>
      </c>
      <c r="T5" s="11">
        <f t="shared" si="4"/>
        <v>77237.177530000015</v>
      </c>
      <c r="U5" s="12">
        <f t="shared" si="4"/>
        <v>81036.519578000007</v>
      </c>
      <c r="V5" s="19">
        <f t="shared" si="4"/>
        <v>81036.519578000007</v>
      </c>
      <c r="W5" s="20">
        <f t="shared" si="4"/>
        <v>81036.519578000007</v>
      </c>
    </row>
    <row r="6" spans="1:23" x14ac:dyDescent="0.25">
      <c r="A6" s="102">
        <v>4</v>
      </c>
      <c r="B6" s="98">
        <v>4</v>
      </c>
      <c r="C6" s="118">
        <v>51957</v>
      </c>
      <c r="D6" s="94">
        <v>53516</v>
      </c>
      <c r="E6" s="18">
        <f t="shared" si="2"/>
        <v>57171.18</v>
      </c>
      <c r="F6" s="18">
        <f>E6*WageAward+'Pay Tables'!E6</f>
        <v>57742.891799999998</v>
      </c>
      <c r="G6" s="18">
        <f t="shared" si="3"/>
        <v>61423.4732</v>
      </c>
      <c r="H6" s="18">
        <f t="shared" si="0"/>
        <v>62037.707931999998</v>
      </c>
      <c r="I6" s="41">
        <f t="shared" si="4"/>
        <v>62037.381500000003</v>
      </c>
      <c r="J6" s="75">
        <f t="shared" si="4"/>
        <v>65834.948573999995</v>
      </c>
      <c r="K6" s="11">
        <f t="shared" si="4"/>
        <v>65834.948573999995</v>
      </c>
      <c r="L6" s="11">
        <f t="shared" si="4"/>
        <v>69636.392028000002</v>
      </c>
      <c r="M6" s="11">
        <f t="shared" si="4"/>
        <v>69636.392028000002</v>
      </c>
      <c r="N6" s="11">
        <f t="shared" si="4"/>
        <v>73437.83548200001</v>
      </c>
      <c r="O6" s="11">
        <f t="shared" si="4"/>
        <v>73437.83548200001</v>
      </c>
      <c r="P6" s="11">
        <f t="shared" si="4"/>
        <v>73437.83548200001</v>
      </c>
      <c r="Q6" s="11">
        <f t="shared" si="4"/>
        <v>77237.177530000015</v>
      </c>
      <c r="R6" s="11">
        <f t="shared" si="4"/>
        <v>77237.177530000015</v>
      </c>
      <c r="S6" s="11">
        <f t="shared" si="4"/>
        <v>77237.177530000015</v>
      </c>
      <c r="T6" s="12">
        <f t="shared" si="4"/>
        <v>81036.519578000007</v>
      </c>
      <c r="U6" s="19">
        <f t="shared" si="4"/>
        <v>81036.519578000007</v>
      </c>
      <c r="V6" s="19">
        <f t="shared" si="4"/>
        <v>81036.519578000007</v>
      </c>
      <c r="W6" s="20">
        <f t="shared" si="4"/>
        <v>81036.519578000007</v>
      </c>
    </row>
    <row r="7" spans="1:23" x14ac:dyDescent="0.25">
      <c r="A7" s="102">
        <v>5</v>
      </c>
      <c r="B7" s="98">
        <v>5</v>
      </c>
      <c r="C7" s="119">
        <v>55506</v>
      </c>
      <c r="D7" s="95">
        <f>C7*Analysis!$C$2+'Pay Tables'!C7</f>
        <v>57171.18</v>
      </c>
      <c r="E7" s="19">
        <f t="shared" si="2"/>
        <v>60815.32</v>
      </c>
      <c r="F7" s="19">
        <f>E7*WageAward+'Pay Tables'!E7</f>
        <v>61423.4732</v>
      </c>
      <c r="G7" s="19">
        <f t="shared" si="3"/>
        <v>61423.15</v>
      </c>
      <c r="H7" s="19">
        <f t="shared" si="0"/>
        <v>62037.381500000003</v>
      </c>
      <c r="I7" s="42">
        <f t="shared" si="4"/>
        <v>65834.948573999995</v>
      </c>
      <c r="J7" s="75">
        <f t="shared" si="4"/>
        <v>65834.948573999995</v>
      </c>
      <c r="K7" s="11">
        <f t="shared" si="4"/>
        <v>69636.392028000002</v>
      </c>
      <c r="L7" s="11">
        <f t="shared" si="4"/>
        <v>69636.392028000002</v>
      </c>
      <c r="M7" s="11">
        <f t="shared" si="4"/>
        <v>73437.83548200001</v>
      </c>
      <c r="N7" s="11">
        <f t="shared" si="4"/>
        <v>73437.83548200001</v>
      </c>
      <c r="O7" s="11">
        <f t="shared" si="4"/>
        <v>73437.83548200001</v>
      </c>
      <c r="P7" s="11">
        <f t="shared" si="4"/>
        <v>77237.177530000015</v>
      </c>
      <c r="Q7" s="11">
        <f t="shared" si="4"/>
        <v>77237.177530000015</v>
      </c>
      <c r="R7" s="11">
        <f t="shared" si="4"/>
        <v>77237.177530000015</v>
      </c>
      <c r="S7" s="12">
        <f t="shared" si="4"/>
        <v>81036.519578000007</v>
      </c>
      <c r="T7" s="19">
        <f t="shared" si="4"/>
        <v>81036.519578000007</v>
      </c>
      <c r="U7" s="19">
        <f t="shared" si="4"/>
        <v>81036.519578000007</v>
      </c>
      <c r="V7" s="19">
        <f t="shared" si="4"/>
        <v>81036.519578000007</v>
      </c>
      <c r="W7" s="20">
        <f t="shared" si="4"/>
        <v>81036.519578000007</v>
      </c>
    </row>
    <row r="8" spans="1:23" x14ac:dyDescent="0.25">
      <c r="A8" s="102">
        <v>6</v>
      </c>
      <c r="B8" s="98">
        <v>6</v>
      </c>
      <c r="C8" s="120">
        <v>59044</v>
      </c>
      <c r="D8" s="96">
        <f>C8*Analysis!$C$2+'Pay Tables'!C8</f>
        <v>60815.32</v>
      </c>
      <c r="E8" s="23">
        <v>60815</v>
      </c>
      <c r="F8" s="23">
        <f>E8*WageAward+'Pay Tables'!E8</f>
        <v>61423.15</v>
      </c>
      <c r="G8" s="23">
        <f t="shared" si="3"/>
        <v>65183.117399999996</v>
      </c>
      <c r="H8" s="23">
        <f t="shared" si="0"/>
        <v>65834.948573999995</v>
      </c>
      <c r="I8" s="43">
        <f t="shared" si="4"/>
        <v>65834.948573999995</v>
      </c>
      <c r="J8" s="75">
        <f t="shared" si="4"/>
        <v>69636.392028000002</v>
      </c>
      <c r="K8" s="11">
        <f t="shared" si="4"/>
        <v>69636.392028000002</v>
      </c>
      <c r="L8" s="11">
        <f t="shared" si="4"/>
        <v>73437.83548200001</v>
      </c>
      <c r="M8" s="11">
        <f t="shared" si="4"/>
        <v>73437.83548200001</v>
      </c>
      <c r="N8" s="11">
        <f t="shared" si="4"/>
        <v>73437.83548200001</v>
      </c>
      <c r="O8" s="11">
        <f t="shared" si="4"/>
        <v>77237.177530000015</v>
      </c>
      <c r="P8" s="11">
        <f t="shared" si="4"/>
        <v>77237.177530000015</v>
      </c>
      <c r="Q8" s="11">
        <f t="shared" si="4"/>
        <v>77237.177530000015</v>
      </c>
      <c r="R8" s="12">
        <f t="shared" si="4"/>
        <v>81036.519578000007</v>
      </c>
      <c r="S8" s="19">
        <f t="shared" si="4"/>
        <v>81036.519578000007</v>
      </c>
      <c r="T8" s="19">
        <f t="shared" si="4"/>
        <v>81036.519578000007</v>
      </c>
      <c r="U8" s="19">
        <f t="shared" si="4"/>
        <v>81036.519578000007</v>
      </c>
      <c r="V8" s="19">
        <f t="shared" si="4"/>
        <v>81036.519578000007</v>
      </c>
      <c r="W8" s="20">
        <f t="shared" si="4"/>
        <v>81036.519578000007</v>
      </c>
    </row>
    <row r="9" spans="1:23" x14ac:dyDescent="0.25">
      <c r="A9" s="102">
        <v>7</v>
      </c>
      <c r="B9" s="98">
        <v>7</v>
      </c>
      <c r="C9" s="116">
        <v>59044</v>
      </c>
      <c r="D9" s="90">
        <v>60815</v>
      </c>
      <c r="E9" s="10">
        <f t="shared" si="2"/>
        <v>64537.74</v>
      </c>
      <c r="F9" s="10">
        <f>E9*WageAward+'Pay Tables'!E9</f>
        <v>65183.117399999996</v>
      </c>
      <c r="G9" s="10">
        <f t="shared" si="3"/>
        <v>65183.117399999996</v>
      </c>
      <c r="H9" s="10">
        <f t="shared" si="0"/>
        <v>65834.948573999995</v>
      </c>
      <c r="I9" s="39">
        <f t="shared" si="4"/>
        <v>69636.392028000002</v>
      </c>
      <c r="J9" s="75">
        <f t="shared" si="4"/>
        <v>69636.392028000002</v>
      </c>
      <c r="K9" s="11">
        <f t="shared" si="4"/>
        <v>73437.83548200001</v>
      </c>
      <c r="L9" s="11">
        <f t="shared" si="4"/>
        <v>73437.83548200001</v>
      </c>
      <c r="M9" s="11">
        <f t="shared" si="4"/>
        <v>73437.83548200001</v>
      </c>
      <c r="N9" s="11">
        <f t="shared" si="4"/>
        <v>77237.177530000015</v>
      </c>
      <c r="O9" s="11">
        <f t="shared" si="4"/>
        <v>77237.177530000015</v>
      </c>
      <c r="P9" s="11">
        <f t="shared" si="4"/>
        <v>77237.177530000015</v>
      </c>
      <c r="Q9" s="12">
        <f t="shared" si="4"/>
        <v>81036.519578000007</v>
      </c>
      <c r="R9" s="19">
        <f t="shared" si="4"/>
        <v>81036.519578000007</v>
      </c>
      <c r="S9" s="19">
        <f t="shared" si="4"/>
        <v>81036.519578000007</v>
      </c>
      <c r="T9" s="19">
        <f t="shared" si="4"/>
        <v>81036.519578000007</v>
      </c>
      <c r="U9" s="19">
        <f t="shared" si="4"/>
        <v>81036.519578000007</v>
      </c>
      <c r="V9" s="19">
        <f t="shared" si="4"/>
        <v>81036.519578000007</v>
      </c>
      <c r="W9" s="20">
        <f t="shared" si="4"/>
        <v>81036.519578000007</v>
      </c>
    </row>
    <row r="10" spans="1:23" x14ac:dyDescent="0.25">
      <c r="A10" s="102">
        <v>8</v>
      </c>
      <c r="B10" s="98">
        <v>8</v>
      </c>
      <c r="C10" s="117">
        <v>62658</v>
      </c>
      <c r="D10" s="93">
        <f>C10*Analysis!$C$2+'Pay Tables'!C10</f>
        <v>64537.74</v>
      </c>
      <c r="E10" s="15">
        <f t="shared" si="2"/>
        <v>64537.74</v>
      </c>
      <c r="F10" s="15">
        <f>E10*WageAward+'Pay Tables'!E10</f>
        <v>65183.117399999996</v>
      </c>
      <c r="G10" s="15">
        <f t="shared" si="3"/>
        <v>68946.9228</v>
      </c>
      <c r="H10" s="15">
        <f t="shared" si="0"/>
        <v>69636.392028000002</v>
      </c>
      <c r="I10" s="40">
        <f t="shared" si="4"/>
        <v>69636.392028000002</v>
      </c>
      <c r="J10" s="75">
        <f t="shared" si="4"/>
        <v>73437.83548200001</v>
      </c>
      <c r="K10" s="11">
        <f t="shared" si="4"/>
        <v>73437.83548200001</v>
      </c>
      <c r="L10" s="11">
        <f t="shared" si="4"/>
        <v>73437.83548200001</v>
      </c>
      <c r="M10" s="11">
        <f t="shared" si="4"/>
        <v>77237.177530000015</v>
      </c>
      <c r="N10" s="11">
        <f t="shared" si="4"/>
        <v>77237.177530000015</v>
      </c>
      <c r="O10" s="11">
        <f t="shared" si="4"/>
        <v>77237.177530000015</v>
      </c>
      <c r="P10" s="12">
        <f t="shared" si="4"/>
        <v>81036.519578000007</v>
      </c>
      <c r="Q10" s="19">
        <f t="shared" si="4"/>
        <v>81036.519578000007</v>
      </c>
      <c r="R10" s="19">
        <f t="shared" si="4"/>
        <v>81036.519578000007</v>
      </c>
      <c r="S10" s="19">
        <f t="shared" si="4"/>
        <v>81036.519578000007</v>
      </c>
      <c r="T10" s="19">
        <f t="shared" si="4"/>
        <v>81036.519578000007</v>
      </c>
      <c r="U10" s="19">
        <f t="shared" si="4"/>
        <v>81036.519578000007</v>
      </c>
      <c r="V10" s="19">
        <f t="shared" si="4"/>
        <v>81036.519578000007</v>
      </c>
      <c r="W10" s="20">
        <f t="shared" si="4"/>
        <v>81036.519578000007</v>
      </c>
    </row>
    <row r="11" spans="1:23" x14ac:dyDescent="0.25">
      <c r="A11" s="102">
        <v>9</v>
      </c>
      <c r="B11" s="98">
        <v>9</v>
      </c>
      <c r="C11" s="118">
        <v>62658</v>
      </c>
      <c r="D11" s="94">
        <f>C11*Analysis!$C$2+'Pay Tables'!C11</f>
        <v>64537.74</v>
      </c>
      <c r="E11" s="18">
        <f t="shared" si="2"/>
        <v>68264.28</v>
      </c>
      <c r="F11" s="18">
        <f>E11*WageAward+'Pay Tables'!E11</f>
        <v>68946.9228</v>
      </c>
      <c r="G11" s="18">
        <f t="shared" si="3"/>
        <v>68946.9228</v>
      </c>
      <c r="H11" s="18">
        <f t="shared" si="0"/>
        <v>69636.392028000002</v>
      </c>
      <c r="I11" s="41">
        <f t="shared" si="4"/>
        <v>73437.83548200001</v>
      </c>
      <c r="J11" s="75">
        <f t="shared" si="4"/>
        <v>73437.83548200001</v>
      </c>
      <c r="K11" s="11">
        <f t="shared" si="4"/>
        <v>73437.83548200001</v>
      </c>
      <c r="L11" s="11">
        <f t="shared" si="4"/>
        <v>77237.177530000015</v>
      </c>
      <c r="M11" s="11">
        <f t="shared" si="4"/>
        <v>77237.177530000015</v>
      </c>
      <c r="N11" s="11">
        <f t="shared" si="4"/>
        <v>77237.177530000015</v>
      </c>
      <c r="O11" s="12">
        <f t="shared" si="4"/>
        <v>81036.519578000007</v>
      </c>
      <c r="P11" s="19">
        <f t="shared" si="4"/>
        <v>81036.519578000007</v>
      </c>
      <c r="Q11" s="19">
        <f t="shared" si="4"/>
        <v>81036.519578000007</v>
      </c>
      <c r="R11" s="19">
        <f t="shared" si="4"/>
        <v>81036.519578000007</v>
      </c>
      <c r="S11" s="19">
        <f t="shared" si="4"/>
        <v>81036.519578000007</v>
      </c>
      <c r="T11" s="19">
        <f t="shared" si="4"/>
        <v>81036.519578000007</v>
      </c>
      <c r="U11" s="19">
        <f t="shared" si="4"/>
        <v>81036.519578000007</v>
      </c>
      <c r="V11" s="19">
        <f t="shared" si="4"/>
        <v>81036.519578000007</v>
      </c>
      <c r="W11" s="20">
        <f t="shared" si="4"/>
        <v>81036.519578000007</v>
      </c>
    </row>
    <row r="12" spans="1:23" x14ac:dyDescent="0.25">
      <c r="A12" s="102">
        <v>10</v>
      </c>
      <c r="B12" s="98">
        <v>10</v>
      </c>
      <c r="C12" s="119">
        <v>66276</v>
      </c>
      <c r="D12" s="95">
        <f>C12*Analysis!$C$2+'Pay Tables'!C12</f>
        <v>68264.28</v>
      </c>
      <c r="E12" s="19">
        <f t="shared" si="2"/>
        <v>68264.28</v>
      </c>
      <c r="F12" s="19">
        <f>E12*WageAward+'Pay Tables'!E12</f>
        <v>68946.9228</v>
      </c>
      <c r="G12" s="19">
        <f t="shared" si="3"/>
        <v>72710.728200000012</v>
      </c>
      <c r="H12" s="19">
        <f t="shared" si="0"/>
        <v>73437.83548200001</v>
      </c>
      <c r="I12" s="42">
        <f t="shared" si="4"/>
        <v>73437.83548200001</v>
      </c>
      <c r="J12" s="75">
        <f t="shared" si="4"/>
        <v>73437.83548200001</v>
      </c>
      <c r="K12" s="11">
        <f t="shared" si="4"/>
        <v>77237.177530000015</v>
      </c>
      <c r="L12" s="11">
        <f t="shared" si="4"/>
        <v>77237.177530000015</v>
      </c>
      <c r="M12" s="11">
        <f t="shared" si="4"/>
        <v>77237.177530000015</v>
      </c>
      <c r="N12" s="12">
        <f t="shared" si="4"/>
        <v>81036.519578000007</v>
      </c>
      <c r="O12" s="19">
        <f t="shared" si="4"/>
        <v>81036.519578000007</v>
      </c>
      <c r="P12" s="19">
        <f t="shared" si="4"/>
        <v>81036.519578000007</v>
      </c>
      <c r="Q12" s="19">
        <f t="shared" si="4"/>
        <v>81036.519578000007</v>
      </c>
      <c r="R12" s="19">
        <f t="shared" si="4"/>
        <v>81036.519578000007</v>
      </c>
      <c r="S12" s="19">
        <f t="shared" si="4"/>
        <v>81036.519578000007</v>
      </c>
      <c r="T12" s="19">
        <f t="shared" si="4"/>
        <v>81036.519578000007</v>
      </c>
      <c r="U12" s="19">
        <f t="shared" si="4"/>
        <v>81036.519578000007</v>
      </c>
      <c r="V12" s="19">
        <f t="shared" si="4"/>
        <v>81036.519578000007</v>
      </c>
      <c r="W12" s="20">
        <f t="shared" si="4"/>
        <v>81036.519578000007</v>
      </c>
    </row>
    <row r="13" spans="1:23" x14ac:dyDescent="0.25">
      <c r="A13" s="102">
        <v>11</v>
      </c>
      <c r="B13" s="98">
        <v>11</v>
      </c>
      <c r="C13" s="120">
        <v>66276</v>
      </c>
      <c r="D13" s="96">
        <f>C13*Analysis!$C$2+'Pay Tables'!C13</f>
        <v>68264.28</v>
      </c>
      <c r="E13" s="23">
        <f t="shared" si="2"/>
        <v>71990.820000000007</v>
      </c>
      <c r="F13" s="23">
        <f>E13*WageAward+'Pay Tables'!E13</f>
        <v>72710.728200000012</v>
      </c>
      <c r="G13" s="23">
        <f t="shared" si="3"/>
        <v>72710.728200000012</v>
      </c>
      <c r="H13" s="23">
        <f t="shared" si="0"/>
        <v>73437.83548200001</v>
      </c>
      <c r="I13" s="43">
        <f t="shared" si="4"/>
        <v>73437.83548200001</v>
      </c>
      <c r="J13" s="75">
        <f t="shared" si="4"/>
        <v>77237.177530000015</v>
      </c>
      <c r="K13" s="11">
        <f t="shared" si="4"/>
        <v>77237.177530000015</v>
      </c>
      <c r="L13" s="11">
        <f t="shared" si="4"/>
        <v>77237.177530000015</v>
      </c>
      <c r="M13" s="12">
        <f t="shared" si="4"/>
        <v>81036.519578000007</v>
      </c>
      <c r="N13" s="19">
        <f t="shared" si="4"/>
        <v>81036.519578000007</v>
      </c>
      <c r="O13" s="19">
        <f t="shared" si="4"/>
        <v>81036.519578000007</v>
      </c>
      <c r="P13" s="19">
        <f t="shared" si="4"/>
        <v>81036.519578000007</v>
      </c>
      <c r="Q13" s="19">
        <f t="shared" si="4"/>
        <v>81036.519578000007</v>
      </c>
      <c r="R13" s="19">
        <f t="shared" si="4"/>
        <v>81036.519578000007</v>
      </c>
      <c r="S13" s="19">
        <f t="shared" si="4"/>
        <v>81036.519578000007</v>
      </c>
      <c r="T13" s="19">
        <f t="shared" si="4"/>
        <v>81036.519578000007</v>
      </c>
      <c r="U13" s="19">
        <f t="shared" si="4"/>
        <v>81036.519578000007</v>
      </c>
      <c r="V13" s="19">
        <f t="shared" si="4"/>
        <v>81036.519578000007</v>
      </c>
      <c r="W13" s="20">
        <f t="shared" si="4"/>
        <v>81036.519578000007</v>
      </c>
    </row>
    <row r="14" spans="1:23" x14ac:dyDescent="0.25">
      <c r="A14" s="102">
        <v>12</v>
      </c>
      <c r="B14" s="98">
        <v>12</v>
      </c>
      <c r="C14" s="116">
        <v>69894</v>
      </c>
      <c r="D14" s="90">
        <f>C14*Analysis!$C$2+'Pay Tables'!C14</f>
        <v>71990.820000000007</v>
      </c>
      <c r="E14" s="10">
        <f t="shared" si="2"/>
        <v>71990.820000000007</v>
      </c>
      <c r="F14" s="10">
        <f>E14*WageAward+'Pay Tables'!E14</f>
        <v>72710.728200000012</v>
      </c>
      <c r="G14" s="10">
        <f t="shared" si="3"/>
        <v>72710.728200000012</v>
      </c>
      <c r="H14" s="10">
        <f t="shared" si="0"/>
        <v>73437.83548200001</v>
      </c>
      <c r="I14" s="39">
        <f t="shared" si="4"/>
        <v>77237.177530000015</v>
      </c>
      <c r="J14" s="75">
        <f t="shared" si="4"/>
        <v>77237.177530000015</v>
      </c>
      <c r="K14" s="11">
        <f t="shared" si="4"/>
        <v>77237.177530000015</v>
      </c>
      <c r="L14" s="12">
        <f t="shared" si="4"/>
        <v>81036.519578000007</v>
      </c>
      <c r="M14" s="19">
        <f t="shared" si="4"/>
        <v>81036.519578000007</v>
      </c>
      <c r="N14" s="19">
        <f t="shared" si="4"/>
        <v>81036.519578000007</v>
      </c>
      <c r="O14" s="19">
        <f t="shared" si="4"/>
        <v>81036.519578000007</v>
      </c>
      <c r="P14" s="19">
        <f t="shared" si="4"/>
        <v>81036.519578000007</v>
      </c>
      <c r="Q14" s="19">
        <f t="shared" si="4"/>
        <v>81036.519578000007</v>
      </c>
      <c r="R14" s="19">
        <f t="shared" si="4"/>
        <v>81036.519578000007</v>
      </c>
      <c r="S14" s="19">
        <f t="shared" si="4"/>
        <v>81036.519578000007</v>
      </c>
      <c r="T14" s="19">
        <f t="shared" si="4"/>
        <v>81036.519578000007</v>
      </c>
      <c r="U14" s="19">
        <f t="shared" si="4"/>
        <v>81036.519578000007</v>
      </c>
      <c r="V14" s="19">
        <f t="shared" si="4"/>
        <v>81036.519578000007</v>
      </c>
      <c r="W14" s="20">
        <f t="shared" si="4"/>
        <v>81036.519578000007</v>
      </c>
    </row>
    <row r="15" spans="1:23" x14ac:dyDescent="0.25">
      <c r="A15" s="102">
        <v>13</v>
      </c>
      <c r="B15" s="98">
        <v>13</v>
      </c>
      <c r="C15" s="117">
        <v>69894</v>
      </c>
      <c r="D15" s="93">
        <f>C15*Analysis!$C$2+'Pay Tables'!C15</f>
        <v>71990.820000000007</v>
      </c>
      <c r="E15" s="15">
        <f t="shared" si="2"/>
        <v>71990.820000000007</v>
      </c>
      <c r="F15" s="15">
        <f>E15*WageAward+'Pay Tables'!E15</f>
        <v>72710.728200000012</v>
      </c>
      <c r="G15" s="15">
        <f t="shared" si="3"/>
        <v>76472.453000000009</v>
      </c>
      <c r="H15" s="15">
        <f t="shared" si="0"/>
        <v>77237.177530000015</v>
      </c>
      <c r="I15" s="40">
        <f t="shared" si="4"/>
        <v>77237.177530000015</v>
      </c>
      <c r="J15" s="75">
        <f t="shared" si="4"/>
        <v>77237.177530000015</v>
      </c>
      <c r="K15" s="12">
        <f t="shared" si="4"/>
        <v>81036.519578000007</v>
      </c>
      <c r="L15" s="19">
        <f t="shared" si="4"/>
        <v>81036.519578000007</v>
      </c>
      <c r="M15" s="19">
        <f t="shared" si="4"/>
        <v>81036.519578000007</v>
      </c>
      <c r="N15" s="19">
        <f t="shared" si="4"/>
        <v>81036.519578000007</v>
      </c>
      <c r="O15" s="19">
        <f t="shared" si="4"/>
        <v>81036.519578000007</v>
      </c>
      <c r="P15" s="19">
        <f t="shared" si="4"/>
        <v>81036.519578000007</v>
      </c>
      <c r="Q15" s="19">
        <f t="shared" si="4"/>
        <v>81036.519578000007</v>
      </c>
      <c r="R15" s="19">
        <f t="shared" si="4"/>
        <v>81036.519578000007</v>
      </c>
      <c r="S15" s="19">
        <f t="shared" si="4"/>
        <v>81036.519578000007</v>
      </c>
      <c r="T15" s="19">
        <f t="shared" si="4"/>
        <v>81036.519578000007</v>
      </c>
      <c r="U15" s="19">
        <f t="shared" si="4"/>
        <v>81036.519578000007</v>
      </c>
      <c r="V15" s="19">
        <f t="shared" si="4"/>
        <v>81036.519578000007</v>
      </c>
      <c r="W15" s="20">
        <f t="shared" si="4"/>
        <v>81036.519578000007</v>
      </c>
    </row>
    <row r="16" spans="1:23" x14ac:dyDescent="0.25">
      <c r="A16" s="102">
        <v>14</v>
      </c>
      <c r="B16" s="98">
        <v>14</v>
      </c>
      <c r="C16" s="118">
        <v>69894</v>
      </c>
      <c r="D16" s="94">
        <f>C16*Analysis!$C$2+'Pay Tables'!C16</f>
        <v>71990.820000000007</v>
      </c>
      <c r="E16" s="18">
        <f t="shared" si="2"/>
        <v>75715.3</v>
      </c>
      <c r="F16" s="18">
        <f>E16*WageAward+'Pay Tables'!E16</f>
        <v>76472.453000000009</v>
      </c>
      <c r="G16" s="18">
        <f t="shared" si="3"/>
        <v>76472.453000000009</v>
      </c>
      <c r="H16" s="18">
        <f t="shared" si="0"/>
        <v>77237.177530000015</v>
      </c>
      <c r="I16" s="41">
        <f t="shared" si="4"/>
        <v>77237.177530000015</v>
      </c>
      <c r="J16" s="77">
        <f t="shared" si="4"/>
        <v>81036.519578000007</v>
      </c>
      <c r="K16" s="19">
        <f t="shared" si="4"/>
        <v>81036.519578000007</v>
      </c>
      <c r="L16" s="19">
        <f t="shared" si="4"/>
        <v>81036.519578000007</v>
      </c>
      <c r="M16" s="19">
        <f t="shared" si="4"/>
        <v>81036.519578000007</v>
      </c>
      <c r="N16" s="19">
        <f t="shared" si="4"/>
        <v>81036.519578000007</v>
      </c>
      <c r="O16" s="19">
        <f t="shared" si="4"/>
        <v>81036.519578000007</v>
      </c>
      <c r="P16" s="19">
        <f t="shared" si="4"/>
        <v>81036.519578000007</v>
      </c>
      <c r="Q16" s="19">
        <f t="shared" si="4"/>
        <v>81036.519578000007</v>
      </c>
      <c r="R16" s="19">
        <f t="shared" si="4"/>
        <v>81036.519578000007</v>
      </c>
      <c r="S16" s="19">
        <f t="shared" si="4"/>
        <v>81036.519578000007</v>
      </c>
      <c r="T16" s="19">
        <f t="shared" si="4"/>
        <v>81036.519578000007</v>
      </c>
      <c r="U16" s="19">
        <f t="shared" si="4"/>
        <v>81036.519578000007</v>
      </c>
      <c r="V16" s="19">
        <f t="shared" si="4"/>
        <v>81036.519578000007</v>
      </c>
      <c r="W16" s="20">
        <f t="shared" si="4"/>
        <v>81036.519578000007</v>
      </c>
    </row>
    <row r="17" spans="1:23" x14ac:dyDescent="0.25">
      <c r="A17" s="102">
        <v>15</v>
      </c>
      <c r="B17" s="98">
        <v>15</v>
      </c>
      <c r="C17" s="119">
        <v>73510</v>
      </c>
      <c r="D17" s="95">
        <f>C17*Analysis!$C$2+'Pay Tables'!C17</f>
        <v>75715.3</v>
      </c>
      <c r="E17" s="19">
        <f t="shared" si="2"/>
        <v>75715.3</v>
      </c>
      <c r="F17" s="19">
        <f>E17*WageAward+'Pay Tables'!E17</f>
        <v>76472.453000000009</v>
      </c>
      <c r="G17" s="19">
        <f t="shared" si="3"/>
        <v>76472.453000000009</v>
      </c>
      <c r="H17" s="19">
        <f t="shared" si="0"/>
        <v>77237.177530000015</v>
      </c>
      <c r="I17" s="44">
        <f t="shared" si="4"/>
        <v>81036.519578000007</v>
      </c>
      <c r="J17" s="21">
        <f t="shared" si="4"/>
        <v>81036.519578000007</v>
      </c>
      <c r="K17" s="19">
        <f t="shared" si="4"/>
        <v>81036.519578000007</v>
      </c>
      <c r="L17" s="19">
        <f t="shared" si="4"/>
        <v>81036.519578000007</v>
      </c>
      <c r="M17" s="19">
        <f t="shared" si="4"/>
        <v>81036.519578000007</v>
      </c>
      <c r="N17" s="19">
        <f t="shared" si="4"/>
        <v>81036.519578000007</v>
      </c>
      <c r="O17" s="19">
        <f t="shared" si="4"/>
        <v>81036.519578000007</v>
      </c>
      <c r="P17" s="19">
        <f t="shared" si="4"/>
        <v>81036.519578000007</v>
      </c>
      <c r="Q17" s="19">
        <f t="shared" si="4"/>
        <v>81036.519578000007</v>
      </c>
      <c r="R17" s="19">
        <f t="shared" si="4"/>
        <v>81036.519578000007</v>
      </c>
      <c r="S17" s="19">
        <f t="shared" si="4"/>
        <v>81036.519578000007</v>
      </c>
      <c r="T17" s="19">
        <f t="shared" si="4"/>
        <v>81036.519578000007</v>
      </c>
      <c r="U17" s="19">
        <f t="shared" si="4"/>
        <v>81036.519578000007</v>
      </c>
      <c r="V17" s="19">
        <f t="shared" si="4"/>
        <v>81036.519578000007</v>
      </c>
      <c r="W17" s="20">
        <f t="shared" si="4"/>
        <v>81036.519578000007</v>
      </c>
    </row>
    <row r="18" spans="1:23" x14ac:dyDescent="0.25">
      <c r="A18" s="102">
        <v>16</v>
      </c>
      <c r="B18" s="98">
        <v>16</v>
      </c>
      <c r="C18" s="120">
        <v>73510</v>
      </c>
      <c r="D18" s="96">
        <f>C18*Analysis!$C$2+'Pay Tables'!C18</f>
        <v>75715.3</v>
      </c>
      <c r="E18" s="23">
        <f t="shared" si="2"/>
        <v>75715.3</v>
      </c>
      <c r="F18" s="23">
        <f>E18*WageAward+'Pay Tables'!E18</f>
        <v>76472.453000000009</v>
      </c>
      <c r="G18" s="23">
        <f t="shared" si="3"/>
        <v>80234.177800000005</v>
      </c>
      <c r="H18" s="23">
        <f t="shared" si="0"/>
        <v>81036.519578000007</v>
      </c>
      <c r="I18" s="45">
        <f t="shared" si="4"/>
        <v>81036.519578000007</v>
      </c>
      <c r="J18" s="21">
        <f t="shared" si="4"/>
        <v>81036.519578000007</v>
      </c>
      <c r="K18" s="19">
        <f t="shared" si="4"/>
        <v>81036.519578000007</v>
      </c>
      <c r="L18" s="19">
        <f t="shared" si="4"/>
        <v>81036.519578000007</v>
      </c>
      <c r="M18" s="19">
        <f t="shared" si="4"/>
        <v>81036.519578000007</v>
      </c>
      <c r="N18" s="19">
        <f t="shared" si="4"/>
        <v>81036.519578000007</v>
      </c>
      <c r="O18" s="19">
        <f t="shared" si="4"/>
        <v>81036.519578000007</v>
      </c>
      <c r="P18" s="19">
        <f t="shared" si="4"/>
        <v>81036.519578000007</v>
      </c>
      <c r="Q18" s="19">
        <f t="shared" si="4"/>
        <v>81036.519578000007</v>
      </c>
      <c r="R18" s="19">
        <f t="shared" si="4"/>
        <v>81036.519578000007</v>
      </c>
      <c r="S18" s="19">
        <f t="shared" si="4"/>
        <v>81036.519578000007</v>
      </c>
      <c r="T18" s="19">
        <f t="shared" si="4"/>
        <v>81036.519578000007</v>
      </c>
      <c r="U18" s="19">
        <f t="shared" si="4"/>
        <v>81036.519578000007</v>
      </c>
      <c r="V18" s="19">
        <f t="shared" si="4"/>
        <v>81036.519578000007</v>
      </c>
      <c r="W18" s="20">
        <f t="shared" si="4"/>
        <v>81036.519578000007</v>
      </c>
    </row>
    <row r="19" spans="1:23" x14ac:dyDescent="0.25">
      <c r="A19" s="102">
        <v>17</v>
      </c>
      <c r="B19" s="98">
        <v>17</v>
      </c>
      <c r="C19" s="116">
        <v>73510</v>
      </c>
      <c r="D19" s="90">
        <f>C19*Analysis!$C$2+'Pay Tables'!C19</f>
        <v>75715.3</v>
      </c>
      <c r="E19" s="10">
        <f t="shared" si="2"/>
        <v>79439.78</v>
      </c>
      <c r="F19" s="10">
        <f>E19*WageAward+'Pay Tables'!E19</f>
        <v>80234.177800000005</v>
      </c>
      <c r="G19" s="10">
        <f t="shared" si="3"/>
        <v>80234.177800000005</v>
      </c>
      <c r="H19" s="10">
        <f t="shared" si="0"/>
        <v>81036.519578000007</v>
      </c>
      <c r="I19" s="46">
        <f t="shared" si="4"/>
        <v>81036.519578000007</v>
      </c>
      <c r="J19" s="21">
        <f t="shared" si="4"/>
        <v>81036.519578000007</v>
      </c>
      <c r="K19" s="19">
        <f t="shared" si="4"/>
        <v>81036.519578000007</v>
      </c>
      <c r="L19" s="19">
        <f t="shared" si="4"/>
        <v>81036.519578000007</v>
      </c>
      <c r="M19" s="19">
        <f t="shared" si="4"/>
        <v>81036.519578000007</v>
      </c>
      <c r="N19" s="19">
        <f t="shared" si="4"/>
        <v>81036.519578000007</v>
      </c>
      <c r="O19" s="19">
        <f t="shared" si="4"/>
        <v>81036.519578000007</v>
      </c>
      <c r="P19" s="19">
        <f t="shared" si="4"/>
        <v>81036.519578000007</v>
      </c>
      <c r="Q19" s="19">
        <f t="shared" si="4"/>
        <v>81036.519578000007</v>
      </c>
      <c r="R19" s="19">
        <f t="shared" si="4"/>
        <v>81036.519578000007</v>
      </c>
      <c r="S19" s="19">
        <f t="shared" si="4"/>
        <v>81036.519578000007</v>
      </c>
      <c r="T19" s="19">
        <f t="shared" si="4"/>
        <v>81036.519578000007</v>
      </c>
      <c r="U19" s="19">
        <f t="shared" si="4"/>
        <v>81036.519578000007</v>
      </c>
      <c r="V19" s="19">
        <f t="shared" si="4"/>
        <v>81036.519578000007</v>
      </c>
      <c r="W19" s="20">
        <f t="shared" si="4"/>
        <v>81036.519578000007</v>
      </c>
    </row>
    <row r="20" spans="1:23" ht="15.75" thickBot="1" x14ac:dyDescent="0.3">
      <c r="A20" s="103">
        <v>18</v>
      </c>
      <c r="B20" s="99">
        <v>18</v>
      </c>
      <c r="C20" s="121">
        <v>77126</v>
      </c>
      <c r="D20" s="91">
        <f>C20*Analysis!$C$2+'Pay Tables'!C20</f>
        <v>79439.78</v>
      </c>
      <c r="E20" s="25">
        <f>E19</f>
        <v>79439.78</v>
      </c>
      <c r="F20" s="25">
        <f>E20*WageAward+'Pay Tables'!E20</f>
        <v>80234.177800000005</v>
      </c>
      <c r="G20" s="25">
        <f>G19</f>
        <v>80234.177800000005</v>
      </c>
      <c r="H20" s="25">
        <f t="shared" si="0"/>
        <v>81036.519578000007</v>
      </c>
      <c r="I20" s="73">
        <f t="shared" ref="I20:W20" si="5">I19</f>
        <v>81036.519578000007</v>
      </c>
      <c r="J20" s="76">
        <f t="shared" si="5"/>
        <v>81036.519578000007</v>
      </c>
      <c r="K20" s="26">
        <f t="shared" si="5"/>
        <v>81036.519578000007</v>
      </c>
      <c r="L20" s="26">
        <f t="shared" si="5"/>
        <v>81036.519578000007</v>
      </c>
      <c r="M20" s="26">
        <f t="shared" si="5"/>
        <v>81036.519578000007</v>
      </c>
      <c r="N20" s="26">
        <f t="shared" si="5"/>
        <v>81036.519578000007</v>
      </c>
      <c r="O20" s="26">
        <f t="shared" si="5"/>
        <v>81036.519578000007</v>
      </c>
      <c r="P20" s="26">
        <f t="shared" si="5"/>
        <v>81036.519578000007</v>
      </c>
      <c r="Q20" s="26">
        <f t="shared" si="5"/>
        <v>81036.519578000007</v>
      </c>
      <c r="R20" s="26">
        <f t="shared" si="5"/>
        <v>81036.519578000007</v>
      </c>
      <c r="S20" s="26">
        <f t="shared" si="5"/>
        <v>81036.519578000007</v>
      </c>
      <c r="T20" s="26">
        <f t="shared" si="5"/>
        <v>81036.519578000007</v>
      </c>
      <c r="U20" s="26">
        <f t="shared" si="5"/>
        <v>81036.519578000007</v>
      </c>
      <c r="V20" s="26">
        <f t="shared" si="5"/>
        <v>81036.519578000007</v>
      </c>
      <c r="W20" s="27">
        <f t="shared" si="5"/>
        <v>81036.519578000007</v>
      </c>
    </row>
    <row r="21" spans="1:23" x14ac:dyDescent="0.25"/>
    <row r="22" spans="1:23" x14ac:dyDescent="0.25"/>
    <row r="23" spans="1:23" x14ac:dyDescent="0.25">
      <c r="F23" s="66"/>
      <c r="G23" s="66"/>
      <c r="H23" s="66"/>
      <c r="I23" s="72"/>
    </row>
    <row r="24" spans="1:23" x14ac:dyDescent="0.25"/>
    <row r="25" spans="1:23" x14ac:dyDescent="0.25"/>
    <row r="26" spans="1:23" x14ac:dyDescent="0.25"/>
    <row r="27" spans="1:23" x14ac:dyDescent="0.25"/>
    <row r="28" spans="1:23" ht="15.75" thickBot="1" x14ac:dyDescent="0.3"/>
    <row r="29" spans="1:23" ht="71.25" customHeight="1" thickBot="1" x14ac:dyDescent="0.3">
      <c r="A29" s="124" t="s">
        <v>54</v>
      </c>
      <c r="B29" s="125"/>
      <c r="C29" s="125"/>
      <c r="D29" s="127"/>
      <c r="E29" s="127"/>
      <c r="F29" s="127"/>
      <c r="G29" s="127"/>
      <c r="H29" s="125"/>
      <c r="I29" s="125"/>
      <c r="J29" s="125"/>
      <c r="K29" s="125"/>
      <c r="L29" s="125"/>
      <c r="M29" s="125"/>
      <c r="N29" s="125"/>
      <c r="O29" s="125"/>
      <c r="P29" s="125"/>
      <c r="Q29" s="125"/>
      <c r="R29" s="125"/>
      <c r="S29" s="125"/>
      <c r="T29" s="125"/>
      <c r="U29" s="125"/>
      <c r="V29" s="125"/>
      <c r="W29" s="126"/>
    </row>
    <row r="30" spans="1:23" ht="45.75" thickBot="1" x14ac:dyDescent="0.3">
      <c r="A30" s="100" t="s">
        <v>0</v>
      </c>
      <c r="B30" s="113" t="s">
        <v>0</v>
      </c>
      <c r="C30" s="1" t="s">
        <v>36</v>
      </c>
      <c r="D30" s="59" t="s">
        <v>30</v>
      </c>
      <c r="E30" s="62" t="s">
        <v>33</v>
      </c>
      <c r="F30" s="60" t="s">
        <v>31</v>
      </c>
      <c r="G30" s="63" t="s">
        <v>34</v>
      </c>
      <c r="H30" s="61" t="s">
        <v>32</v>
      </c>
      <c r="I30" s="64" t="s">
        <v>35</v>
      </c>
      <c r="J30" s="2" t="s">
        <v>1</v>
      </c>
      <c r="K30" s="2" t="s">
        <v>2</v>
      </c>
      <c r="L30" s="2" t="s">
        <v>3</v>
      </c>
      <c r="M30" s="2" t="s">
        <v>4</v>
      </c>
      <c r="N30" s="3" t="s">
        <v>5</v>
      </c>
      <c r="O30" s="2" t="s">
        <v>6</v>
      </c>
      <c r="P30" s="3" t="s">
        <v>7</v>
      </c>
      <c r="Q30" s="2" t="s">
        <v>8</v>
      </c>
      <c r="R30" s="3" t="s">
        <v>9</v>
      </c>
      <c r="S30" s="2" t="s">
        <v>10</v>
      </c>
      <c r="T30" s="3" t="s">
        <v>11</v>
      </c>
      <c r="U30" s="2" t="s">
        <v>12</v>
      </c>
      <c r="V30" s="3" t="s">
        <v>13</v>
      </c>
      <c r="W30" s="4" t="s">
        <v>14</v>
      </c>
    </row>
    <row r="31" spans="1:23" x14ac:dyDescent="0.25">
      <c r="A31" s="102">
        <v>1</v>
      </c>
      <c r="B31" s="97">
        <v>1</v>
      </c>
      <c r="C31" s="92">
        <v>41360</v>
      </c>
      <c r="D31" s="104">
        <v>45345</v>
      </c>
      <c r="E31" s="5">
        <f>D32</f>
        <v>46242.879999999997</v>
      </c>
      <c r="F31" s="5">
        <v>50619.571075237116</v>
      </c>
      <c r="G31" s="5">
        <v>50619.500099990037</v>
      </c>
      <c r="H31" s="5">
        <v>51000</v>
      </c>
      <c r="I31" s="6">
        <v>58756</v>
      </c>
      <c r="J31" s="32">
        <v>58756</v>
      </c>
      <c r="K31" s="32">
        <v>58756</v>
      </c>
      <c r="L31" s="32">
        <v>65500</v>
      </c>
      <c r="M31" s="28">
        <v>65500</v>
      </c>
      <c r="N31" s="28">
        <v>65500</v>
      </c>
      <c r="O31" s="28">
        <v>72500</v>
      </c>
      <c r="P31" s="28">
        <v>72500</v>
      </c>
      <c r="Q31" s="28">
        <v>72500</v>
      </c>
      <c r="R31" s="29">
        <v>80000</v>
      </c>
      <c r="S31" s="30">
        <v>80000</v>
      </c>
      <c r="T31" s="30">
        <v>80000</v>
      </c>
      <c r="U31" s="30">
        <v>80000</v>
      </c>
      <c r="V31" s="30">
        <v>80000</v>
      </c>
      <c r="W31" s="31">
        <v>80000</v>
      </c>
    </row>
    <row r="32" spans="1:23" x14ac:dyDescent="0.25">
      <c r="A32" s="102">
        <v>2</v>
      </c>
      <c r="B32" s="98">
        <v>2</v>
      </c>
      <c r="C32" s="90">
        <v>44896</v>
      </c>
      <c r="D32" s="9">
        <f>C32*Analysis!$C$2+'Pay Tables'!C32</f>
        <v>46242.879999999997</v>
      </c>
      <c r="E32" s="10">
        <f t="shared" ref="E32" si="6">D33</f>
        <v>50978.82</v>
      </c>
      <c r="F32" s="105">
        <f>F4</f>
        <v>51488.608200000002</v>
      </c>
      <c r="G32" s="10">
        <v>57181.831845995701</v>
      </c>
      <c r="H32" s="10">
        <v>58756</v>
      </c>
      <c r="I32" s="10">
        <v>58756</v>
      </c>
      <c r="J32" s="32">
        <v>58756</v>
      </c>
      <c r="K32" s="32">
        <v>65500</v>
      </c>
      <c r="L32" s="32">
        <v>65500</v>
      </c>
      <c r="M32" s="32">
        <v>65500</v>
      </c>
      <c r="N32" s="32">
        <v>72500</v>
      </c>
      <c r="O32" s="32">
        <v>72500</v>
      </c>
      <c r="P32" s="32">
        <v>72500</v>
      </c>
      <c r="Q32" s="33">
        <v>80000</v>
      </c>
      <c r="R32" s="16">
        <v>80000</v>
      </c>
      <c r="S32" s="16">
        <v>80000</v>
      </c>
      <c r="T32" s="16">
        <v>80000</v>
      </c>
      <c r="U32" s="16">
        <v>80000</v>
      </c>
      <c r="V32" s="16">
        <v>80000</v>
      </c>
      <c r="W32" s="13">
        <v>80000</v>
      </c>
    </row>
    <row r="33" spans="1:23" x14ac:dyDescent="0.25">
      <c r="A33" s="102">
        <v>3</v>
      </c>
      <c r="B33" s="98">
        <v>3</v>
      </c>
      <c r="C33" s="93">
        <v>49494</v>
      </c>
      <c r="D33" s="14">
        <f>C33*Analysis!$C$2+'Pay Tables'!C33</f>
        <v>50978.82</v>
      </c>
      <c r="E33" s="105">
        <v>56061</v>
      </c>
      <c r="F33" s="15">
        <v>57181.831845995701</v>
      </c>
      <c r="G33" s="15">
        <v>57182.281199999998</v>
      </c>
      <c r="H33" s="15">
        <v>58756</v>
      </c>
      <c r="I33" s="15">
        <v>58756</v>
      </c>
      <c r="J33" s="32">
        <v>65500</v>
      </c>
      <c r="K33" s="32">
        <v>65500</v>
      </c>
      <c r="L33" s="32">
        <v>65500</v>
      </c>
      <c r="M33" s="32">
        <v>72500</v>
      </c>
      <c r="N33" s="32">
        <v>72500</v>
      </c>
      <c r="O33" s="32">
        <v>72500</v>
      </c>
      <c r="P33" s="33">
        <v>80000</v>
      </c>
      <c r="Q33" s="16">
        <v>80000</v>
      </c>
      <c r="R33" s="16">
        <v>80000</v>
      </c>
      <c r="S33" s="16">
        <v>80000</v>
      </c>
      <c r="T33" s="16">
        <v>80000</v>
      </c>
      <c r="U33" s="16">
        <v>80000</v>
      </c>
      <c r="V33" s="16">
        <v>80000</v>
      </c>
      <c r="W33" s="13">
        <v>80000</v>
      </c>
    </row>
    <row r="34" spans="1:23" x14ac:dyDescent="0.25">
      <c r="A34" s="102">
        <v>4</v>
      </c>
      <c r="B34" s="98">
        <v>4</v>
      </c>
      <c r="C34" s="94">
        <v>51957</v>
      </c>
      <c r="D34" s="106">
        <v>56061</v>
      </c>
      <c r="E34" s="18">
        <f t="shared" ref="E34:E35" si="7">D35</f>
        <v>57171.18</v>
      </c>
      <c r="F34" s="18">
        <v>57182.281199999998</v>
      </c>
      <c r="G34" s="18">
        <v>58756</v>
      </c>
      <c r="H34" s="18">
        <v>58756</v>
      </c>
      <c r="I34" s="18">
        <v>65500</v>
      </c>
      <c r="J34" s="32">
        <v>65500</v>
      </c>
      <c r="K34" s="32">
        <v>65500</v>
      </c>
      <c r="L34" s="32">
        <v>72500</v>
      </c>
      <c r="M34" s="32">
        <v>72500</v>
      </c>
      <c r="N34" s="32">
        <v>72500</v>
      </c>
      <c r="O34" s="33">
        <v>80000</v>
      </c>
      <c r="P34" s="16">
        <v>80000</v>
      </c>
      <c r="Q34" s="16">
        <v>80000</v>
      </c>
      <c r="R34" s="16">
        <v>80000</v>
      </c>
      <c r="S34" s="16">
        <v>80000</v>
      </c>
      <c r="T34" s="16">
        <v>80000</v>
      </c>
      <c r="U34" s="16">
        <v>80000</v>
      </c>
      <c r="V34" s="16">
        <v>80000</v>
      </c>
      <c r="W34" s="13">
        <v>80000</v>
      </c>
    </row>
    <row r="35" spans="1:23" x14ac:dyDescent="0.25">
      <c r="A35" s="102">
        <v>5</v>
      </c>
      <c r="B35" s="98">
        <v>5</v>
      </c>
      <c r="C35" s="95">
        <v>55506</v>
      </c>
      <c r="D35" s="21">
        <f>C35*Analysis!$C$2+'Pay Tables'!C35</f>
        <v>57171.18</v>
      </c>
      <c r="E35" s="19">
        <f t="shared" si="7"/>
        <v>60815.32</v>
      </c>
      <c r="F35" s="107">
        <f>F7</f>
        <v>61423.4732</v>
      </c>
      <c r="G35" s="19">
        <v>64549.933733865197</v>
      </c>
      <c r="H35" s="19">
        <v>65500</v>
      </c>
      <c r="I35" s="19">
        <v>65500</v>
      </c>
      <c r="J35" s="32">
        <v>65500</v>
      </c>
      <c r="K35" s="32">
        <v>72500</v>
      </c>
      <c r="L35" s="32">
        <v>72500</v>
      </c>
      <c r="M35" s="32">
        <v>72500</v>
      </c>
      <c r="N35" s="33">
        <v>80000</v>
      </c>
      <c r="O35" s="16">
        <v>80000</v>
      </c>
      <c r="P35" s="16">
        <v>80000</v>
      </c>
      <c r="Q35" s="16">
        <v>80000</v>
      </c>
      <c r="R35" s="16">
        <v>80000</v>
      </c>
      <c r="S35" s="16">
        <v>80000</v>
      </c>
      <c r="T35" s="16">
        <v>80000</v>
      </c>
      <c r="U35" s="16">
        <v>80000</v>
      </c>
      <c r="V35" s="16">
        <v>80000</v>
      </c>
      <c r="W35" s="13">
        <v>80000</v>
      </c>
    </row>
    <row r="36" spans="1:23" x14ac:dyDescent="0.25">
      <c r="A36" s="102">
        <v>6</v>
      </c>
      <c r="B36" s="98">
        <v>6</v>
      </c>
      <c r="C36" s="96">
        <v>59044</v>
      </c>
      <c r="D36" s="22">
        <f>C36*Analysis!$C$2+'Pay Tables'!C36</f>
        <v>60815.32</v>
      </c>
      <c r="E36" s="105">
        <v>63285</v>
      </c>
      <c r="F36" s="23">
        <v>64549.933733865197</v>
      </c>
      <c r="G36" s="23">
        <v>64550.2716</v>
      </c>
      <c r="H36" s="23">
        <v>65500</v>
      </c>
      <c r="I36" s="23">
        <v>65500</v>
      </c>
      <c r="J36" s="32">
        <v>72500</v>
      </c>
      <c r="K36" s="32">
        <v>72500</v>
      </c>
      <c r="L36" s="32">
        <v>72500</v>
      </c>
      <c r="M36" s="33">
        <v>80000</v>
      </c>
      <c r="N36" s="16">
        <v>80000</v>
      </c>
      <c r="O36" s="16">
        <v>80000</v>
      </c>
      <c r="P36" s="16">
        <v>80000</v>
      </c>
      <c r="Q36" s="16">
        <v>80000</v>
      </c>
      <c r="R36" s="16">
        <v>80000</v>
      </c>
      <c r="S36" s="16">
        <v>80000</v>
      </c>
      <c r="T36" s="16">
        <v>80000</v>
      </c>
      <c r="U36" s="16">
        <v>80000</v>
      </c>
      <c r="V36" s="16">
        <v>80000</v>
      </c>
      <c r="W36" s="13">
        <v>80000</v>
      </c>
    </row>
    <row r="37" spans="1:23" x14ac:dyDescent="0.25">
      <c r="A37" s="102">
        <v>7</v>
      </c>
      <c r="B37" s="98">
        <v>7</v>
      </c>
      <c r="C37" s="90">
        <v>59044</v>
      </c>
      <c r="D37" s="106">
        <v>63285</v>
      </c>
      <c r="E37" s="10">
        <f t="shared" ref="E37:E47" si="8">D38</f>
        <v>64537.74</v>
      </c>
      <c r="F37" s="10">
        <v>64550.2716</v>
      </c>
      <c r="G37" s="10">
        <v>64550.2716</v>
      </c>
      <c r="H37" s="10">
        <v>65500</v>
      </c>
      <c r="I37" s="10">
        <v>72500</v>
      </c>
      <c r="J37" s="32">
        <v>72500</v>
      </c>
      <c r="K37" s="32">
        <v>72500</v>
      </c>
      <c r="L37" s="33">
        <v>80000</v>
      </c>
      <c r="M37" s="16">
        <v>80000</v>
      </c>
      <c r="N37" s="16">
        <v>80000</v>
      </c>
      <c r="O37" s="16">
        <v>80000</v>
      </c>
      <c r="P37" s="16">
        <v>80000</v>
      </c>
      <c r="Q37" s="16">
        <v>80000</v>
      </c>
      <c r="R37" s="16">
        <v>80000</v>
      </c>
      <c r="S37" s="16">
        <v>80000</v>
      </c>
      <c r="T37" s="16">
        <v>80000</v>
      </c>
      <c r="U37" s="16">
        <v>80000</v>
      </c>
      <c r="V37" s="16">
        <v>80000</v>
      </c>
      <c r="W37" s="13">
        <v>80000</v>
      </c>
    </row>
    <row r="38" spans="1:23" x14ac:dyDescent="0.25">
      <c r="A38" s="102">
        <v>8</v>
      </c>
      <c r="B38" s="98">
        <v>8</v>
      </c>
      <c r="C38" s="93">
        <v>62658</v>
      </c>
      <c r="D38" s="14">
        <f>C38*Analysis!$C$2+'Pay Tables'!C38</f>
        <v>64537.74</v>
      </c>
      <c r="E38" s="15">
        <f t="shared" si="8"/>
        <v>64537.74</v>
      </c>
      <c r="F38" s="15">
        <v>64550.2716</v>
      </c>
      <c r="G38" s="15">
        <v>72003.33168267092</v>
      </c>
      <c r="H38" s="15">
        <v>72500</v>
      </c>
      <c r="I38" s="15">
        <v>72500</v>
      </c>
      <c r="J38" s="32">
        <v>72500</v>
      </c>
      <c r="K38" s="33">
        <v>80000</v>
      </c>
      <c r="L38" s="16">
        <v>80000</v>
      </c>
      <c r="M38" s="34">
        <v>80000</v>
      </c>
      <c r="N38" s="34">
        <v>80000</v>
      </c>
      <c r="O38" s="34">
        <v>80000</v>
      </c>
      <c r="P38" s="34">
        <v>80000</v>
      </c>
      <c r="Q38" s="34">
        <v>80000</v>
      </c>
      <c r="R38" s="34">
        <v>80000</v>
      </c>
      <c r="S38" s="16">
        <v>80000</v>
      </c>
      <c r="T38" s="16">
        <v>80000</v>
      </c>
      <c r="U38" s="16">
        <v>80000</v>
      </c>
      <c r="V38" s="16">
        <v>80000</v>
      </c>
      <c r="W38" s="13">
        <v>80000</v>
      </c>
    </row>
    <row r="39" spans="1:23" x14ac:dyDescent="0.25">
      <c r="A39" s="102">
        <v>9</v>
      </c>
      <c r="B39" s="98">
        <v>9</v>
      </c>
      <c r="C39" s="94">
        <v>62658</v>
      </c>
      <c r="D39" s="17">
        <f>C39*Analysis!$C$2+'Pay Tables'!C39</f>
        <v>64537.74</v>
      </c>
      <c r="E39" s="18">
        <f t="shared" si="8"/>
        <v>68264.28</v>
      </c>
      <c r="F39" s="18">
        <v>72003.33168267092</v>
      </c>
      <c r="G39" s="18">
        <v>72003.33168267092</v>
      </c>
      <c r="H39" s="18">
        <v>72500</v>
      </c>
      <c r="I39" s="18">
        <v>72500</v>
      </c>
      <c r="J39" s="33">
        <v>80000</v>
      </c>
      <c r="K39" s="16">
        <v>80000</v>
      </c>
      <c r="L39" s="16">
        <v>80000</v>
      </c>
      <c r="M39" s="16">
        <v>80000</v>
      </c>
      <c r="N39" s="16">
        <v>80000</v>
      </c>
      <c r="O39" s="16">
        <v>80000</v>
      </c>
      <c r="P39" s="16">
        <v>80000</v>
      </c>
      <c r="Q39" s="16">
        <v>80000</v>
      </c>
      <c r="R39" s="16">
        <v>80000</v>
      </c>
      <c r="S39" s="35">
        <v>80000</v>
      </c>
      <c r="T39" s="16">
        <v>80000</v>
      </c>
      <c r="U39" s="16">
        <v>80000</v>
      </c>
      <c r="V39" s="16">
        <v>80000</v>
      </c>
      <c r="W39" s="13">
        <v>80000</v>
      </c>
    </row>
    <row r="40" spans="1:23" x14ac:dyDescent="0.25">
      <c r="A40" s="102">
        <v>10</v>
      </c>
      <c r="B40" s="98">
        <v>10</v>
      </c>
      <c r="C40" s="35">
        <v>66276</v>
      </c>
      <c r="D40" s="21">
        <f>C40*Analysis!$C$2+'Pay Tables'!C40</f>
        <v>68264.28</v>
      </c>
      <c r="E40" s="19">
        <f t="shared" si="8"/>
        <v>68264.28</v>
      </c>
      <c r="F40" s="16">
        <v>72003.33168267092</v>
      </c>
      <c r="G40" s="16">
        <v>72002.798800000004</v>
      </c>
      <c r="H40" s="16">
        <v>72500</v>
      </c>
      <c r="I40" s="16">
        <v>80000</v>
      </c>
      <c r="J40" s="16">
        <v>80000</v>
      </c>
      <c r="K40" s="16">
        <v>80000</v>
      </c>
      <c r="L40" s="16">
        <v>80000</v>
      </c>
      <c r="M40" s="36">
        <v>80000</v>
      </c>
      <c r="N40" s="36">
        <v>80000</v>
      </c>
      <c r="O40" s="36">
        <v>80000</v>
      </c>
      <c r="P40" s="36">
        <v>80000</v>
      </c>
      <c r="Q40" s="36">
        <v>80000</v>
      </c>
      <c r="R40" s="36">
        <v>80000</v>
      </c>
      <c r="S40" s="16">
        <v>80000</v>
      </c>
      <c r="T40" s="16">
        <v>80000</v>
      </c>
      <c r="U40" s="16">
        <v>80000</v>
      </c>
      <c r="V40" s="16">
        <v>80000</v>
      </c>
      <c r="W40" s="13">
        <v>80000</v>
      </c>
    </row>
    <row r="41" spans="1:23" x14ac:dyDescent="0.25">
      <c r="A41" s="102">
        <v>11</v>
      </c>
      <c r="B41" s="98">
        <v>11</v>
      </c>
      <c r="C41" s="108">
        <v>66276</v>
      </c>
      <c r="D41" s="22">
        <f>C41*Analysis!$C$2+'Pay Tables'!C41</f>
        <v>68264.28</v>
      </c>
      <c r="E41" s="23">
        <f t="shared" si="8"/>
        <v>71990.820000000007</v>
      </c>
      <c r="F41" s="78">
        <v>72002.798800000004</v>
      </c>
      <c r="G41" s="78">
        <v>75729.606967427826</v>
      </c>
      <c r="H41" s="78">
        <v>80000</v>
      </c>
      <c r="I41" s="78">
        <v>80000</v>
      </c>
      <c r="J41" s="16">
        <v>80000</v>
      </c>
      <c r="K41" s="16">
        <v>80000</v>
      </c>
      <c r="L41" s="16">
        <v>80000</v>
      </c>
      <c r="M41" s="16">
        <v>80000</v>
      </c>
      <c r="N41" s="16">
        <v>80000</v>
      </c>
      <c r="O41" s="16">
        <v>80000</v>
      </c>
      <c r="P41" s="16">
        <v>80000</v>
      </c>
      <c r="Q41" s="16">
        <v>80000</v>
      </c>
      <c r="R41" s="16">
        <v>80000</v>
      </c>
      <c r="S41" s="16">
        <v>80000</v>
      </c>
      <c r="T41" s="16">
        <v>80000</v>
      </c>
      <c r="U41" s="16">
        <v>80000</v>
      </c>
      <c r="V41" s="16">
        <v>80000</v>
      </c>
      <c r="W41" s="13">
        <v>80000</v>
      </c>
    </row>
    <row r="42" spans="1:23" x14ac:dyDescent="0.25">
      <c r="A42" s="102">
        <v>12</v>
      </c>
      <c r="B42" s="98">
        <v>12</v>
      </c>
      <c r="C42" s="109">
        <v>69894</v>
      </c>
      <c r="D42" s="9">
        <f>C42*Analysis!$C$2+'Pay Tables'!C42</f>
        <v>71990.820000000007</v>
      </c>
      <c r="E42" s="10">
        <f t="shared" si="8"/>
        <v>71990.820000000007</v>
      </c>
      <c r="F42" s="79">
        <v>75729.606967427826</v>
      </c>
      <c r="G42" s="79">
        <v>75729.606967427826</v>
      </c>
      <c r="H42" s="79">
        <v>80000</v>
      </c>
      <c r="I42" s="79">
        <v>80000</v>
      </c>
      <c r="J42" s="16">
        <v>80000</v>
      </c>
      <c r="K42" s="16">
        <v>80000</v>
      </c>
      <c r="L42" s="16">
        <v>80000</v>
      </c>
      <c r="M42" s="16">
        <v>80000</v>
      </c>
      <c r="N42" s="16">
        <v>80000</v>
      </c>
      <c r="O42" s="16">
        <v>80000</v>
      </c>
      <c r="P42" s="16">
        <v>80000</v>
      </c>
      <c r="Q42" s="16">
        <v>80000</v>
      </c>
      <c r="R42" s="16">
        <v>80000</v>
      </c>
      <c r="S42" s="16">
        <v>80000</v>
      </c>
      <c r="T42" s="16">
        <v>80000</v>
      </c>
      <c r="U42" s="16">
        <v>80000</v>
      </c>
      <c r="V42" s="16">
        <v>80000</v>
      </c>
      <c r="W42" s="13">
        <v>80000</v>
      </c>
    </row>
    <row r="43" spans="1:23" x14ac:dyDescent="0.25">
      <c r="A43" s="102">
        <v>13</v>
      </c>
      <c r="B43" s="98">
        <v>13</v>
      </c>
      <c r="C43" s="110">
        <v>69894</v>
      </c>
      <c r="D43" s="14">
        <f>C43*Analysis!$C$2+'Pay Tables'!C43</f>
        <v>71990.820000000007</v>
      </c>
      <c r="E43" s="15">
        <f t="shared" si="8"/>
        <v>71990.820000000007</v>
      </c>
      <c r="F43" s="80">
        <v>75729.606967427826</v>
      </c>
      <c r="G43" s="80">
        <v>75730.001999999993</v>
      </c>
      <c r="H43" s="80">
        <v>80000</v>
      </c>
      <c r="I43" s="80">
        <v>80000</v>
      </c>
      <c r="J43" s="16">
        <v>80000</v>
      </c>
      <c r="K43" s="16">
        <v>80000</v>
      </c>
      <c r="L43" s="16">
        <v>80000</v>
      </c>
      <c r="M43" s="16">
        <v>80000</v>
      </c>
      <c r="N43" s="16">
        <v>80000</v>
      </c>
      <c r="O43" s="16">
        <v>80000</v>
      </c>
      <c r="P43" s="16">
        <v>80000</v>
      </c>
      <c r="Q43" s="16">
        <v>80000</v>
      </c>
      <c r="R43" s="16">
        <v>80000</v>
      </c>
      <c r="S43" s="16">
        <v>80000</v>
      </c>
      <c r="T43" s="16">
        <v>80000</v>
      </c>
      <c r="U43" s="16">
        <v>80000</v>
      </c>
      <c r="V43" s="16">
        <v>80000</v>
      </c>
      <c r="W43" s="13">
        <v>80000</v>
      </c>
    </row>
    <row r="44" spans="1:23" x14ac:dyDescent="0.25">
      <c r="A44" s="102">
        <v>14</v>
      </c>
      <c r="B44" s="98">
        <v>14</v>
      </c>
      <c r="C44" s="111">
        <v>69894</v>
      </c>
      <c r="D44" s="17">
        <f>C44*Analysis!$C$2+'Pay Tables'!C44</f>
        <v>71990.820000000007</v>
      </c>
      <c r="E44" s="18">
        <f t="shared" si="8"/>
        <v>75715.3</v>
      </c>
      <c r="F44" s="81">
        <v>75730.001999999993</v>
      </c>
      <c r="G44" s="81">
        <v>75730.001999999993</v>
      </c>
      <c r="H44" s="81">
        <v>80000</v>
      </c>
      <c r="I44" s="81">
        <v>80000</v>
      </c>
      <c r="J44" s="16">
        <v>80000</v>
      </c>
      <c r="K44" s="16">
        <v>80000</v>
      </c>
      <c r="L44" s="16">
        <v>80000</v>
      </c>
      <c r="M44" s="16">
        <v>80000</v>
      </c>
      <c r="N44" s="16">
        <v>80000</v>
      </c>
      <c r="O44" s="16">
        <v>80000</v>
      </c>
      <c r="P44" s="16">
        <v>80000</v>
      </c>
      <c r="Q44" s="16">
        <v>80000</v>
      </c>
      <c r="R44" s="16">
        <v>80000</v>
      </c>
      <c r="S44" s="16">
        <v>80000</v>
      </c>
      <c r="T44" s="16">
        <v>80000</v>
      </c>
      <c r="U44" s="16">
        <v>80000</v>
      </c>
      <c r="V44" s="16">
        <v>80000</v>
      </c>
      <c r="W44" s="13">
        <v>80000</v>
      </c>
    </row>
    <row r="45" spans="1:23" x14ac:dyDescent="0.25">
      <c r="A45" s="102">
        <v>15</v>
      </c>
      <c r="B45" s="98">
        <v>15</v>
      </c>
      <c r="C45" s="35">
        <v>73510</v>
      </c>
      <c r="D45" s="21">
        <f>C45*Analysis!$C$2+'Pay Tables'!C45</f>
        <v>75715.3</v>
      </c>
      <c r="E45" s="19">
        <f t="shared" si="8"/>
        <v>75715.3</v>
      </c>
      <c r="F45" s="16">
        <v>75730.001999999993</v>
      </c>
      <c r="G45" s="16">
        <v>75730.001999999993</v>
      </c>
      <c r="H45" s="16">
        <v>80000</v>
      </c>
      <c r="I45" s="16">
        <v>80000</v>
      </c>
      <c r="J45" s="16">
        <v>80000</v>
      </c>
      <c r="K45" s="16">
        <v>80000</v>
      </c>
      <c r="L45" s="16">
        <v>80000</v>
      </c>
      <c r="M45" s="16">
        <v>80000</v>
      </c>
      <c r="N45" s="16">
        <v>80000</v>
      </c>
      <c r="O45" s="16">
        <v>80000</v>
      </c>
      <c r="P45" s="16">
        <v>80000</v>
      </c>
      <c r="Q45" s="16">
        <v>80000</v>
      </c>
      <c r="R45" s="16">
        <v>80000</v>
      </c>
      <c r="S45" s="16">
        <v>80000</v>
      </c>
      <c r="T45" s="16">
        <v>80000</v>
      </c>
      <c r="U45" s="16">
        <v>80000</v>
      </c>
      <c r="V45" s="16">
        <v>80000</v>
      </c>
      <c r="W45" s="13">
        <v>80000</v>
      </c>
    </row>
    <row r="46" spans="1:23" x14ac:dyDescent="0.25">
      <c r="A46" s="102">
        <v>16</v>
      </c>
      <c r="B46" s="98">
        <v>16</v>
      </c>
      <c r="C46" s="108">
        <v>73510</v>
      </c>
      <c r="D46" s="22">
        <f>C46*Analysis!$C$2+'Pay Tables'!C46</f>
        <v>75715.3</v>
      </c>
      <c r="E46" s="23">
        <f t="shared" si="8"/>
        <v>75715.3</v>
      </c>
      <c r="F46" s="78">
        <v>75730.001999999993</v>
      </c>
      <c r="G46" s="78">
        <v>79144.067193000752</v>
      </c>
      <c r="H46" s="78">
        <v>80000</v>
      </c>
      <c r="I46" s="78">
        <v>80000</v>
      </c>
      <c r="J46" s="16">
        <v>80000</v>
      </c>
      <c r="K46" s="16">
        <v>80000</v>
      </c>
      <c r="L46" s="16">
        <v>80000</v>
      </c>
      <c r="M46" s="16">
        <v>80000</v>
      </c>
      <c r="N46" s="16">
        <v>80000</v>
      </c>
      <c r="O46" s="16">
        <v>80000</v>
      </c>
      <c r="P46" s="16">
        <v>80000</v>
      </c>
      <c r="Q46" s="16">
        <v>80000</v>
      </c>
      <c r="R46" s="16">
        <v>80000</v>
      </c>
      <c r="S46" s="16">
        <v>80000</v>
      </c>
      <c r="T46" s="16">
        <v>80000</v>
      </c>
      <c r="U46" s="16">
        <v>80000</v>
      </c>
      <c r="V46" s="16">
        <v>80000</v>
      </c>
      <c r="W46" s="13">
        <v>80000</v>
      </c>
    </row>
    <row r="47" spans="1:23" x14ac:dyDescent="0.25">
      <c r="A47" s="102">
        <v>17</v>
      </c>
      <c r="B47" s="98">
        <v>17</v>
      </c>
      <c r="C47" s="109">
        <v>73510</v>
      </c>
      <c r="D47" s="9">
        <f>C47*Analysis!$C$2+'Pay Tables'!C47</f>
        <v>75715.3</v>
      </c>
      <c r="E47" s="10">
        <f t="shared" si="8"/>
        <v>79439.78</v>
      </c>
      <c r="F47" s="79">
        <v>79144.067193000752</v>
      </c>
      <c r="G47" s="79">
        <v>79144.067193000752</v>
      </c>
      <c r="H47" s="79">
        <v>80000</v>
      </c>
      <c r="I47" s="83">
        <v>80000</v>
      </c>
      <c r="J47" s="19">
        <v>80000</v>
      </c>
      <c r="K47" s="19">
        <v>80000</v>
      </c>
      <c r="L47" s="19">
        <v>80000</v>
      </c>
      <c r="M47" s="19">
        <v>80000</v>
      </c>
      <c r="N47" s="19">
        <v>80000</v>
      </c>
      <c r="O47" s="19">
        <v>80000</v>
      </c>
      <c r="P47" s="19">
        <v>80000</v>
      </c>
      <c r="Q47" s="19">
        <v>80000</v>
      </c>
      <c r="R47" s="19">
        <v>80000</v>
      </c>
      <c r="S47" s="19">
        <v>80000</v>
      </c>
      <c r="T47" s="19">
        <v>80000</v>
      </c>
      <c r="U47" s="19">
        <v>80000</v>
      </c>
      <c r="V47" s="19">
        <v>80000</v>
      </c>
      <c r="W47" s="20">
        <v>80000</v>
      </c>
    </row>
    <row r="48" spans="1:23" ht="15.75" thickBot="1" x14ac:dyDescent="0.3">
      <c r="A48" s="103">
        <v>18</v>
      </c>
      <c r="B48" s="99">
        <v>18</v>
      </c>
      <c r="C48" s="112">
        <v>77126</v>
      </c>
      <c r="D48" s="24">
        <f>C48*Analysis!$C$2+'Pay Tables'!C48</f>
        <v>79439.78</v>
      </c>
      <c r="E48" s="25">
        <f>E47</f>
        <v>79439.78</v>
      </c>
      <c r="F48" s="82">
        <v>79144.067193000752</v>
      </c>
      <c r="G48" s="82">
        <v>79144.067193000752</v>
      </c>
      <c r="H48" s="82">
        <v>80000</v>
      </c>
      <c r="I48" s="84">
        <v>80000</v>
      </c>
      <c r="J48" s="26">
        <v>80000</v>
      </c>
      <c r="K48" s="26">
        <v>80000</v>
      </c>
      <c r="L48" s="26">
        <v>80000</v>
      </c>
      <c r="M48" s="26">
        <v>80000</v>
      </c>
      <c r="N48" s="26">
        <v>80000</v>
      </c>
      <c r="O48" s="26">
        <v>80000</v>
      </c>
      <c r="P48" s="26">
        <v>80000</v>
      </c>
      <c r="Q48" s="26">
        <v>80000</v>
      </c>
      <c r="R48" s="26">
        <v>80000</v>
      </c>
      <c r="S48" s="26">
        <v>80000</v>
      </c>
      <c r="T48" s="26">
        <v>80000</v>
      </c>
      <c r="U48" s="26">
        <v>80000</v>
      </c>
      <c r="V48" s="26">
        <v>80000</v>
      </c>
      <c r="W48" s="27">
        <v>80000</v>
      </c>
    </row>
    <row r="49" x14ac:dyDescent="0.25"/>
    <row r="50" ht="22.5" customHeight="1" x14ac:dyDescent="0.25"/>
  </sheetData>
  <mergeCells count="2">
    <mergeCell ref="A1:W1"/>
    <mergeCell ref="A29:W29"/>
  </mergeCells>
  <conditionalFormatting sqref="J31:R31 J39 J38:K38 J37:L37 J36:M36 J35:N35 J34:O34 J33:P33 J32:Q32">
    <cfRule type="cellIs" dxfId="51" priority="80" operator="equal">
      <formula>81037</formula>
    </cfRule>
  </conditionalFormatting>
  <conditionalFormatting sqref="J34:O34 J39 J38:K38 J37:L37 J36:M36 J35:N35">
    <cfRule type="cellIs" dxfId="50" priority="79" operator="equal">
      <formula>81036.519578</formula>
    </cfRule>
  </conditionalFormatting>
  <conditionalFormatting sqref="J31:R31 J39 J38:K38 J37:L37 J36:M36 J35:N35 J34:O34 J33:P33 J32:Q32">
    <cfRule type="cellIs" dxfId="49" priority="78" operator="equal">
      <formula>80000</formula>
    </cfRule>
  </conditionalFormatting>
  <conditionalFormatting sqref="J3:J15">
    <cfRule type="cellIs" dxfId="48" priority="77" operator="equal">
      <formula>81037</formula>
    </cfRule>
  </conditionalFormatting>
  <conditionalFormatting sqref="J6:J15">
    <cfRule type="cellIs" dxfId="47" priority="76" operator="equal">
      <formula>81036.519578</formula>
    </cfRule>
  </conditionalFormatting>
  <conditionalFormatting sqref="J16">
    <cfRule type="cellIs" dxfId="46" priority="75" operator="equal">
      <formula>81037</formula>
    </cfRule>
  </conditionalFormatting>
  <conditionalFormatting sqref="J16">
    <cfRule type="cellIs" dxfId="45" priority="74" operator="equal">
      <formula>81036.519578</formula>
    </cfRule>
  </conditionalFormatting>
  <conditionalFormatting sqref="K3:K14">
    <cfRule type="cellIs" dxfId="44" priority="73" operator="equal">
      <formula>81037</formula>
    </cfRule>
  </conditionalFormatting>
  <conditionalFormatting sqref="K6:K14">
    <cfRule type="cellIs" dxfId="43" priority="72" operator="equal">
      <formula>81036.519578</formula>
    </cfRule>
  </conditionalFormatting>
  <conditionalFormatting sqref="K15">
    <cfRule type="cellIs" dxfId="42" priority="69" operator="equal">
      <formula>81037</formula>
    </cfRule>
  </conditionalFormatting>
  <conditionalFormatting sqref="K15">
    <cfRule type="cellIs" dxfId="41" priority="68" operator="equal">
      <formula>81036.519578</formula>
    </cfRule>
  </conditionalFormatting>
  <conditionalFormatting sqref="L3:L13">
    <cfRule type="cellIs" dxfId="40" priority="67" operator="equal">
      <formula>81037</formula>
    </cfRule>
  </conditionalFormatting>
  <conditionalFormatting sqref="L6:L13">
    <cfRule type="cellIs" dxfId="39" priority="66" operator="equal">
      <formula>81036.519578</formula>
    </cfRule>
  </conditionalFormatting>
  <conditionalFormatting sqref="M3:M12">
    <cfRule type="cellIs" dxfId="38" priority="63" operator="equal">
      <formula>81037</formula>
    </cfRule>
  </conditionalFormatting>
  <conditionalFormatting sqref="M6:M12">
    <cfRule type="cellIs" dxfId="37" priority="62" operator="equal">
      <formula>81036.519578</formula>
    </cfRule>
  </conditionalFormatting>
  <conditionalFormatting sqref="L14">
    <cfRule type="cellIs" dxfId="36" priority="59" operator="equal">
      <formula>81037</formula>
    </cfRule>
  </conditionalFormatting>
  <conditionalFormatting sqref="L14">
    <cfRule type="cellIs" dxfId="35" priority="58" operator="equal">
      <formula>81036.519578</formula>
    </cfRule>
  </conditionalFormatting>
  <conditionalFormatting sqref="M13">
    <cfRule type="cellIs" dxfId="34" priority="57" operator="equal">
      <formula>81037</formula>
    </cfRule>
  </conditionalFormatting>
  <conditionalFormatting sqref="M13">
    <cfRule type="cellIs" dxfId="33" priority="56" operator="equal">
      <formula>81036.519578</formula>
    </cfRule>
  </conditionalFormatting>
  <conditionalFormatting sqref="N3:N11">
    <cfRule type="cellIs" dxfId="32" priority="55" operator="equal">
      <formula>81037</formula>
    </cfRule>
  </conditionalFormatting>
  <conditionalFormatting sqref="N6:N11">
    <cfRule type="cellIs" dxfId="31" priority="54" operator="equal">
      <formula>81036.519578</formula>
    </cfRule>
  </conditionalFormatting>
  <conditionalFormatting sqref="N12">
    <cfRule type="cellIs" dxfId="30" priority="51" operator="equal">
      <formula>81037</formula>
    </cfRule>
  </conditionalFormatting>
  <conditionalFormatting sqref="N12">
    <cfRule type="cellIs" dxfId="29" priority="50" operator="equal">
      <formula>81036.519578</formula>
    </cfRule>
  </conditionalFormatting>
  <conditionalFormatting sqref="O3:O11">
    <cfRule type="cellIs" dxfId="28" priority="49" operator="equal">
      <formula>81037</formula>
    </cfRule>
  </conditionalFormatting>
  <conditionalFormatting sqref="O6:O11">
    <cfRule type="cellIs" dxfId="27" priority="48" operator="equal">
      <formula>81036.519578</formula>
    </cfRule>
  </conditionalFormatting>
  <conditionalFormatting sqref="P3:P9">
    <cfRule type="cellIs" dxfId="26" priority="45" operator="equal">
      <formula>81037</formula>
    </cfRule>
  </conditionalFormatting>
  <conditionalFormatting sqref="P6:P9">
    <cfRule type="cellIs" dxfId="25" priority="44" operator="equal">
      <formula>81036.519578</formula>
    </cfRule>
  </conditionalFormatting>
  <conditionalFormatting sqref="P10">
    <cfRule type="cellIs" dxfId="24" priority="43" operator="equal">
      <formula>81037</formula>
    </cfRule>
  </conditionalFormatting>
  <conditionalFormatting sqref="P10">
    <cfRule type="cellIs" dxfId="23" priority="42" operator="equal">
      <formula>81036.519578</formula>
    </cfRule>
  </conditionalFormatting>
  <conditionalFormatting sqref="Q3:Q8">
    <cfRule type="cellIs" dxfId="22" priority="41" operator="equal">
      <formula>81037</formula>
    </cfRule>
  </conditionalFormatting>
  <conditionalFormatting sqref="Q6:Q8">
    <cfRule type="cellIs" dxfId="21" priority="40" operator="equal">
      <formula>81036.519578</formula>
    </cfRule>
  </conditionalFormatting>
  <conditionalFormatting sqref="Q9">
    <cfRule type="cellIs" dxfId="20" priority="37" operator="equal">
      <formula>81037</formula>
    </cfRule>
  </conditionalFormatting>
  <conditionalFormatting sqref="Q9">
    <cfRule type="cellIs" dxfId="19" priority="36" operator="equal">
      <formula>81036.519578</formula>
    </cfRule>
  </conditionalFormatting>
  <conditionalFormatting sqref="R3:R7">
    <cfRule type="cellIs" dxfId="18" priority="35" operator="equal">
      <formula>81037</formula>
    </cfRule>
  </conditionalFormatting>
  <conditionalFormatting sqref="R6:R7">
    <cfRule type="cellIs" dxfId="17" priority="34" operator="equal">
      <formula>81036.519578</formula>
    </cfRule>
  </conditionalFormatting>
  <conditionalFormatting sqref="R8">
    <cfRule type="cellIs" dxfId="16" priority="31" operator="equal">
      <formula>81037</formula>
    </cfRule>
  </conditionalFormatting>
  <conditionalFormatting sqref="R8">
    <cfRule type="cellIs" dxfId="15" priority="30" operator="equal">
      <formula>81036.519578</formula>
    </cfRule>
  </conditionalFormatting>
  <conditionalFormatting sqref="S3:S6">
    <cfRule type="cellIs" dxfId="14" priority="25" operator="equal">
      <formula>81037</formula>
    </cfRule>
  </conditionalFormatting>
  <conditionalFormatting sqref="S6">
    <cfRule type="cellIs" dxfId="13" priority="24" operator="equal">
      <formula>81036.519578</formula>
    </cfRule>
  </conditionalFormatting>
  <conditionalFormatting sqref="S7">
    <cfRule type="cellIs" dxfId="12" priority="21" operator="equal">
      <formula>81037</formula>
    </cfRule>
  </conditionalFormatting>
  <conditionalFormatting sqref="S7">
    <cfRule type="cellIs" dxfId="11" priority="20" operator="equal">
      <formula>81036.519578</formula>
    </cfRule>
  </conditionalFormatting>
  <conditionalFormatting sqref="T3:T5">
    <cfRule type="cellIs" dxfId="10" priority="19" operator="equal">
      <formula>81037</formula>
    </cfRule>
  </conditionalFormatting>
  <conditionalFormatting sqref="T6">
    <cfRule type="cellIs" dxfId="9" priority="15" operator="equal">
      <formula>81037</formula>
    </cfRule>
  </conditionalFormatting>
  <conditionalFormatting sqref="T6">
    <cfRule type="cellIs" dxfId="8" priority="14" operator="equal">
      <formula>81036.519578</formula>
    </cfRule>
  </conditionalFormatting>
  <conditionalFormatting sqref="U3:U4">
    <cfRule type="cellIs" dxfId="7" priority="13" operator="equal">
      <formula>81037</formula>
    </cfRule>
  </conditionalFormatting>
  <conditionalFormatting sqref="V3">
    <cfRule type="cellIs" dxfId="6" priority="10" operator="equal">
      <formula>81037</formula>
    </cfRule>
  </conditionalFormatting>
  <conditionalFormatting sqref="U5">
    <cfRule type="cellIs" dxfId="5" priority="9" operator="equal">
      <formula>81037</formula>
    </cfRule>
  </conditionalFormatting>
  <conditionalFormatting sqref="U5">
    <cfRule type="cellIs" dxfId="4" priority="8" operator="equal">
      <formula>81036.519578</formula>
    </cfRule>
  </conditionalFormatting>
  <conditionalFormatting sqref="V4">
    <cfRule type="cellIs" dxfId="3" priority="7" operator="equal">
      <formula>81037</formula>
    </cfRule>
  </conditionalFormatting>
  <conditionalFormatting sqref="V4">
    <cfRule type="cellIs" dxfId="2" priority="6" operator="equal">
      <formula>81036.519578</formula>
    </cfRule>
  </conditionalFormatting>
  <conditionalFormatting sqref="W3">
    <cfRule type="cellIs" dxfId="1" priority="2" operator="equal">
      <formula>81037</formula>
    </cfRule>
  </conditionalFormatting>
  <conditionalFormatting sqref="W3">
    <cfRule type="cellIs" dxfId="0" priority="1" operator="equal">
      <formula>81036.519578</formula>
    </cfRule>
  </conditionalFormatting>
  <pageMargins left="0.7" right="0.7" top="0.75" bottom="0.75" header="0.3" footer="0.3"/>
  <pageSetup paperSize="9" orientation="portrait" r:id="rId1"/>
  <ignoredErrors>
    <ignoredError sqref="G3:G20 H3:H20 F3:F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7D10-830F-439D-9E4B-25529539DE24}">
  <sheetPr codeName="Sheet3"/>
  <dimension ref="A1:AC71"/>
  <sheetViews>
    <sheetView topLeftCell="A10" workbookViewId="0">
      <selection activeCell="E33" sqref="E33"/>
    </sheetView>
  </sheetViews>
  <sheetFormatPr defaultRowHeight="15" x14ac:dyDescent="0.25"/>
  <cols>
    <col min="1" max="1" width="26.140625" customWidth="1"/>
    <col min="2" max="2" width="15" customWidth="1"/>
    <col min="3" max="3" width="12.85546875" customWidth="1"/>
    <col min="4" max="4" width="9.5703125" bestFit="1" customWidth="1"/>
    <col min="5" max="7" width="16.7109375" customWidth="1"/>
    <col min="8" max="9" width="9.5703125" bestFit="1" customWidth="1"/>
    <col min="10" max="10" width="11.5703125" bestFit="1" customWidth="1"/>
    <col min="11" max="11" width="11.42578125" customWidth="1"/>
    <col min="12" max="18" width="9.5703125" bestFit="1" customWidth="1"/>
    <col min="23" max="23" width="11.5703125" bestFit="1" customWidth="1"/>
  </cols>
  <sheetData>
    <row r="1" spans="1:29" x14ac:dyDescent="0.25">
      <c r="A1" s="71"/>
      <c r="C1" s="71"/>
    </row>
    <row r="2" spans="1:29" x14ac:dyDescent="0.25">
      <c r="A2" t="s">
        <v>42</v>
      </c>
      <c r="C2" s="47">
        <v>0.03</v>
      </c>
    </row>
    <row r="3" spans="1:29" x14ac:dyDescent="0.25">
      <c r="A3" s="47"/>
      <c r="B3" s="67" t="s">
        <v>24</v>
      </c>
      <c r="C3" s="49" t="s">
        <v>23</v>
      </c>
    </row>
    <row r="4" spans="1:29" x14ac:dyDescent="0.25">
      <c r="A4" s="47" t="s">
        <v>16</v>
      </c>
      <c r="B4" s="68">
        <v>1</v>
      </c>
      <c r="C4" s="47" cm="1">
        <f t="array" ref="C4">INDEX(YrExp,B4)</f>
        <v>1</v>
      </c>
    </row>
    <row r="5" spans="1:29" x14ac:dyDescent="0.25">
      <c r="A5" s="47" t="s">
        <v>18</v>
      </c>
      <c r="B5" s="47">
        <v>2</v>
      </c>
      <c r="C5" s="69" cm="1">
        <f t="array" ref="C5">VALUE(INDEX(PercApplied,B5))</f>
        <v>0.01</v>
      </c>
    </row>
    <row r="6" spans="1:29" x14ac:dyDescent="0.25">
      <c r="A6" s="47" t="s">
        <v>41</v>
      </c>
      <c r="B6" s="47"/>
      <c r="C6" s="47" t="str">
        <f>A6&amp;" = "&amp;TEXT(W20,"£###,###")</f>
        <v>Net Difference (Incremental) = £28,408</v>
      </c>
    </row>
    <row r="8" spans="1:29" x14ac:dyDescent="0.25">
      <c r="C8">
        <f>WageAward</f>
        <v>0.01</v>
      </c>
    </row>
    <row r="10" spans="1:29" x14ac:dyDescent="0.25">
      <c r="I10" s="37"/>
      <c r="J10" s="37"/>
      <c r="K10" s="37"/>
      <c r="L10" s="37"/>
      <c r="M10" s="37"/>
      <c r="N10" s="37"/>
      <c r="O10" s="37"/>
      <c r="P10" s="37"/>
      <c r="Q10" s="37"/>
      <c r="R10" s="37"/>
      <c r="S10" s="37"/>
      <c r="T10" s="37"/>
      <c r="U10" s="37"/>
      <c r="V10" s="37"/>
      <c r="W10" s="37"/>
      <c r="X10" s="37"/>
      <c r="Y10" s="37"/>
      <c r="Z10" s="37"/>
      <c r="AA10" s="37"/>
      <c r="AB10" s="37"/>
      <c r="AC10" s="37"/>
    </row>
    <row r="11" spans="1:29" x14ac:dyDescent="0.25">
      <c r="I11" s="37"/>
      <c r="J11" s="37"/>
      <c r="K11" s="37"/>
      <c r="L11" s="37"/>
      <c r="M11" s="37"/>
      <c r="N11" s="37"/>
      <c r="O11" s="37"/>
      <c r="P11" s="37"/>
      <c r="Q11" s="37"/>
      <c r="R11" s="37"/>
      <c r="S11" s="37"/>
      <c r="T11" s="37"/>
      <c r="U11" s="37"/>
      <c r="V11" s="37"/>
      <c r="W11" s="37"/>
      <c r="X11" s="37"/>
      <c r="Y11" s="37"/>
      <c r="Z11" s="37"/>
      <c r="AA11" s="37"/>
      <c r="AB11" s="37"/>
      <c r="AC11" s="37"/>
    </row>
    <row r="14" spans="1:29" x14ac:dyDescent="0.25">
      <c r="A14" s="56" t="str">
        <f>"Pay journey of both contracts based on pay point "&amp;C4</f>
        <v>Pay journey of both contracts based on pay point 1</v>
      </c>
    </row>
    <row r="15" spans="1:29" x14ac:dyDescent="0.25">
      <c r="A15" s="57" t="s">
        <v>15</v>
      </c>
    </row>
    <row r="17" spans="1:23" ht="45" x14ac:dyDescent="0.25">
      <c r="A17" s="49"/>
      <c r="B17" s="49" t="str">
        <f>'Pay Tables'!C2</f>
        <v>Salary 31 Mar 21</v>
      </c>
      <c r="C17" s="49" t="str">
        <f>'Pay Tables'!D2</f>
        <v>21/22 Wage Award</v>
      </c>
      <c r="D17" s="49" t="str">
        <f>'Pay Tables'!E2</f>
        <v>21/22 Progression</v>
      </c>
      <c r="E17" s="49" t="str">
        <f>'Pay Tables'!F2</f>
        <v>22/23 Wage Award</v>
      </c>
      <c r="F17" s="49" t="str">
        <f>'Pay Tables'!G2</f>
        <v>22/23 Progression</v>
      </c>
      <c r="G17" s="49" t="str">
        <f>'Pay Tables'!H2</f>
        <v>23/24 Wage Award</v>
      </c>
      <c r="H17" s="49" t="str">
        <f>'Pay Tables'!I2</f>
        <v>23/24 Progression</v>
      </c>
      <c r="I17" s="49" t="str">
        <f>'Pay Tables'!J2</f>
        <v>24/25</v>
      </c>
      <c r="J17" s="49" t="str">
        <f>'Pay Tables'!K2</f>
        <v>25/26</v>
      </c>
      <c r="K17" s="49" t="str">
        <f>'Pay Tables'!L2</f>
        <v>26/27</v>
      </c>
      <c r="L17" s="49" t="str">
        <f>'Pay Tables'!M2</f>
        <v>27/28</v>
      </c>
      <c r="M17" s="49" t="str">
        <f>'Pay Tables'!N2</f>
        <v>28/29</v>
      </c>
      <c r="N17" s="49" t="str">
        <f>'Pay Tables'!O2</f>
        <v>29/30</v>
      </c>
      <c r="O17" s="49" t="str">
        <f>'Pay Tables'!P2</f>
        <v>30/31</v>
      </c>
      <c r="P17" s="49" t="str">
        <f>'Pay Tables'!Q2</f>
        <v>31/32</v>
      </c>
      <c r="Q17" s="49" t="str">
        <f>'Pay Tables'!R2</f>
        <v>32/33</v>
      </c>
      <c r="R17" s="49" t="str">
        <f>'Pay Tables'!S2</f>
        <v>33/34</v>
      </c>
      <c r="S17" s="49" t="str">
        <f>'Pay Tables'!T2</f>
        <v>34/35</v>
      </c>
      <c r="T17" s="49" t="str">
        <f>'Pay Tables'!U2</f>
        <v>35/36</v>
      </c>
      <c r="U17" s="49" t="str">
        <f>'Pay Tables'!V2</f>
        <v>36/37</v>
      </c>
      <c r="V17" s="49" t="str">
        <f>'Pay Tables'!W2</f>
        <v>37/38</v>
      </c>
      <c r="W17" s="49" t="s">
        <v>40</v>
      </c>
    </row>
    <row r="18" spans="1:23" x14ac:dyDescent="0.25">
      <c r="A18" s="47" t="s">
        <v>28</v>
      </c>
      <c r="B18" s="48">
        <f>VLOOKUP($B$4,'Pay Tables'!$A$2:$AG$20,MATCH(B$17,'Pay Tables'!$A$2:$AG$2,0),FALSE)</f>
        <v>41360</v>
      </c>
      <c r="C18" s="48">
        <f>VLOOKUP($B$4,'Pay Tables'!$A$2:$AG$20,MATCH(C$17,'Pay Tables'!$A$2:$AG$2,0),FALSE)</f>
        <v>42601</v>
      </c>
      <c r="D18" s="48">
        <f>VLOOKUP($B$4,'Pay Tables'!$A$2:$AG$20,MATCH(D$17,'Pay Tables'!$A$2:$AG$2,0),FALSE)</f>
        <v>46242.879999999997</v>
      </c>
      <c r="E18" s="48">
        <f>VLOOKUP($B$4,'Pay Tables'!$A$2:$AG$20,MATCH(E$17,'Pay Tables'!$A$2:$AG$2,0),FALSE)</f>
        <v>46705.308799999999</v>
      </c>
      <c r="F18" s="48">
        <f>VLOOKUP($B$4,'Pay Tables'!$A$2:$AG$20,MATCH(F$17,'Pay Tables'!$A$2:$AG$2,0),FALSE)</f>
        <v>51488.608200000002</v>
      </c>
      <c r="G18" s="48">
        <f>VLOOKUP($B$4,'Pay Tables'!$A$2:$AG$20,MATCH(G$17,'Pay Tables'!$A$2:$AG$2,0),FALSE)</f>
        <v>52003.494282</v>
      </c>
      <c r="H18" s="48">
        <f>VLOOKUP($B$4,'Pay Tables'!$A$2:$AG$20,MATCH(H$17,'Pay Tables'!$A$2:$AG$2,0),FALSE)</f>
        <v>54591.671600000001</v>
      </c>
      <c r="I18" s="48">
        <f>VLOOKUP($B$4,'Pay Tables'!$A$2:$AG$20,MATCH(I$17,'Pay Tables'!$A$2:$AG$2,0),FALSE)</f>
        <v>58320.320717999995</v>
      </c>
      <c r="J18" s="48">
        <f>VLOOKUP($B$4,'Pay Tables'!$A$2:$AG$20,MATCH(J$17,'Pay Tables'!$A$2:$AG$2,0),FALSE)</f>
        <v>62037.707931999998</v>
      </c>
      <c r="K18" s="48">
        <f>VLOOKUP($B$4,'Pay Tables'!$A$2:$AG$20,MATCH(K$17,'Pay Tables'!$A$2:$AG$2,0),FALSE)</f>
        <v>62037.381500000003</v>
      </c>
      <c r="L18" s="48">
        <f>VLOOKUP($B$4,'Pay Tables'!$A$2:$AG$20,MATCH(L$17,'Pay Tables'!$A$2:$AG$2,0),FALSE)</f>
        <v>65834.948573999995</v>
      </c>
      <c r="M18" s="48">
        <f>VLOOKUP($B$4,'Pay Tables'!$A$2:$AG$20,MATCH(M$17,'Pay Tables'!$A$2:$AG$2,0),FALSE)</f>
        <v>65834.948573999995</v>
      </c>
      <c r="N18" s="48">
        <f>VLOOKUP($B$4,'Pay Tables'!$A$2:$AG$20,MATCH(N$17,'Pay Tables'!$A$2:$AG$2,0),FALSE)</f>
        <v>69636.392028000002</v>
      </c>
      <c r="O18" s="48">
        <f>VLOOKUP($B$4,'Pay Tables'!$A$2:$AG$20,MATCH(O$17,'Pay Tables'!$A$2:$AG$2,0),FALSE)</f>
        <v>69636.392028000002</v>
      </c>
      <c r="P18" s="48">
        <f>VLOOKUP($B$4,'Pay Tables'!$A$2:$AG$20,MATCH(P$17,'Pay Tables'!$A$2:$AG$2,0),FALSE)</f>
        <v>73437.83548200001</v>
      </c>
      <c r="Q18" s="48">
        <f>VLOOKUP($B$4,'Pay Tables'!$A$2:$AG$20,MATCH(Q$17,'Pay Tables'!$A$2:$AG$2,0),FALSE)</f>
        <v>73437.83548200001</v>
      </c>
      <c r="R18" s="48">
        <f>VLOOKUP($B$4,'Pay Tables'!$A$2:$AG$20,MATCH(R$17,'Pay Tables'!$A$2:$AG$2,0),FALSE)</f>
        <v>73437.83548200001</v>
      </c>
      <c r="S18" s="48">
        <f>VLOOKUP($B$4,'Pay Tables'!$A$2:$AG$20,MATCH(S$17,'Pay Tables'!$A$2:$AG$2,0),FALSE)</f>
        <v>77237.177530000015</v>
      </c>
      <c r="T18" s="48">
        <f>VLOOKUP($B$4,'Pay Tables'!$A$2:$AG$20,MATCH(T$17,'Pay Tables'!$A$2:$AG$2,0),FALSE)</f>
        <v>77237.177530000015</v>
      </c>
      <c r="U18" s="48">
        <f>VLOOKUP($B$4,'Pay Tables'!$A$2:$AG$20,MATCH(U$17,'Pay Tables'!$A$2:$AG$2,0),FALSE)</f>
        <v>77237.177530000015</v>
      </c>
      <c r="V18" s="48">
        <f>VLOOKUP($B$4,'Pay Tables'!$A$2:$AG$20,MATCH(V$17,'Pay Tables'!$A$2:$AG$2,0),FALSE)</f>
        <v>81036.519578000007</v>
      </c>
      <c r="W18" s="48">
        <f>D18+F18+H18+SUM(I18:V18)</f>
        <v>1138722.8097679999</v>
      </c>
    </row>
    <row r="19" spans="1:23" x14ac:dyDescent="0.25">
      <c r="A19" s="47" t="s">
        <v>29</v>
      </c>
      <c r="B19" s="48">
        <f>VLOOKUP($B$4,'Pay Tables'!$A$30:$AG$48,MATCH(B$17,'Pay Tables'!$A$2:$AG$2,0),FALSE)</f>
        <v>41360</v>
      </c>
      <c r="C19" s="48">
        <f>VLOOKUP($B$4,'Pay Tables'!$A$30:$AG$48,MATCH(C$17,'Pay Tables'!$A$2:$AG$2,0),FALSE)</f>
        <v>45345</v>
      </c>
      <c r="D19" s="48">
        <f>VLOOKUP($B$4,'Pay Tables'!$A$30:$AG$48,MATCH(D$17,'Pay Tables'!$A$2:$AG$2,0),FALSE)</f>
        <v>46242.879999999997</v>
      </c>
      <c r="E19" s="48">
        <f>VLOOKUP($B$4,'Pay Tables'!$A$30:$AG$48,MATCH(E$17,'Pay Tables'!$A$2:$AG$2,0),FALSE)</f>
        <v>50619.571075237116</v>
      </c>
      <c r="F19" s="48">
        <f>VLOOKUP($B$4,'Pay Tables'!$A$30:$AG$48,MATCH(F$17,'Pay Tables'!$A$2:$AG$2,0),FALSE)</f>
        <v>50619.500099990037</v>
      </c>
      <c r="G19" s="48">
        <f>VLOOKUP($B$4,'Pay Tables'!$A$30:$AG$48,MATCH(G$17,'Pay Tables'!$A$2:$AG$2,0),FALSE)</f>
        <v>51000</v>
      </c>
      <c r="H19" s="48">
        <f>VLOOKUP($B$4,'Pay Tables'!$A$30:$AG$48,MATCH(H$17,'Pay Tables'!$A$2:$AG$2,0),FALSE)</f>
        <v>58756</v>
      </c>
      <c r="I19" s="48">
        <f>VLOOKUP($B$4,'Pay Tables'!$A$30:$AG$48,MATCH(I$17,'Pay Tables'!$A$2:$AG$2,0),FALSE)</f>
        <v>58756</v>
      </c>
      <c r="J19" s="48">
        <f>VLOOKUP($B$4,'Pay Tables'!$A$30:$AG$48,MATCH(J$17,'Pay Tables'!$A$2:$AG$2,0),FALSE)</f>
        <v>58756</v>
      </c>
      <c r="K19" s="48">
        <f>VLOOKUP($B$4,'Pay Tables'!$A$30:$AG$48,MATCH(K$17,'Pay Tables'!$A$2:$AG$2,0),FALSE)</f>
        <v>65500</v>
      </c>
      <c r="L19" s="48">
        <f>VLOOKUP($B$4,'Pay Tables'!$A$30:$AG$48,MATCH(L$17,'Pay Tables'!$A$2:$AG$2,0),FALSE)</f>
        <v>65500</v>
      </c>
      <c r="M19" s="48">
        <f>VLOOKUP($B$4,'Pay Tables'!$A$30:$AG$48,MATCH(M$17,'Pay Tables'!$A$2:$AG$2,0),FALSE)</f>
        <v>65500</v>
      </c>
      <c r="N19" s="48">
        <f>VLOOKUP($B$4,'Pay Tables'!$A$30:$AG$48,MATCH(N$17,'Pay Tables'!$A$2:$AG$2,0),FALSE)</f>
        <v>72500</v>
      </c>
      <c r="O19" s="48">
        <f>VLOOKUP($B$4,'Pay Tables'!$A$30:$AG$48,MATCH(O$17,'Pay Tables'!$A$2:$AG$2,0),FALSE)</f>
        <v>72500</v>
      </c>
      <c r="P19" s="48">
        <f>VLOOKUP($B$4,'Pay Tables'!$A$30:$AG$48,MATCH(P$17,'Pay Tables'!$A$2:$AG$2,0),FALSE)</f>
        <v>72500</v>
      </c>
      <c r="Q19" s="48">
        <f>VLOOKUP($B$4,'Pay Tables'!$A$30:$AG$48,MATCH(Q$17,'Pay Tables'!$A$2:$AG$2,0),FALSE)</f>
        <v>80000</v>
      </c>
      <c r="R19" s="48">
        <f>VLOOKUP($B$4,'Pay Tables'!$A$30:$AG$48,MATCH(R$17,'Pay Tables'!$A$2:$AG$2,0),FALSE)</f>
        <v>80000</v>
      </c>
      <c r="S19" s="48">
        <f>VLOOKUP($B$4,'Pay Tables'!$A$30:$AG$48,MATCH(S$17,'Pay Tables'!$A$2:$AG$2,0),FALSE)</f>
        <v>80000</v>
      </c>
      <c r="T19" s="48">
        <f>VLOOKUP($B$4,'Pay Tables'!$A$30:$AG$48,MATCH(T$17,'Pay Tables'!$A$2:$AG$2,0),FALSE)</f>
        <v>80000</v>
      </c>
      <c r="U19" s="48">
        <f>VLOOKUP($B$4,'Pay Tables'!$A$30:$AG$48,MATCH(U$17,'Pay Tables'!$A$2:$AG$2,0),FALSE)</f>
        <v>80000</v>
      </c>
      <c r="V19" s="48">
        <f>VLOOKUP($B$4,'Pay Tables'!$A$30:$AG$48,MATCH(V$17,'Pay Tables'!$A$2:$AG$2,0),FALSE)</f>
        <v>80000</v>
      </c>
      <c r="W19" s="48">
        <f>D19+F19+H19+SUM(I19:V19)</f>
        <v>1167130.3800999899</v>
      </c>
    </row>
    <row r="20" spans="1:23" x14ac:dyDescent="0.25">
      <c r="A20" s="50" t="s">
        <v>19</v>
      </c>
      <c r="B20" s="48">
        <f>B19-B18</f>
        <v>0</v>
      </c>
      <c r="C20" s="48">
        <f t="shared" ref="C20:W20" si="0">C19-C18</f>
        <v>2744</v>
      </c>
      <c r="D20" s="48">
        <f>D19-D18</f>
        <v>0</v>
      </c>
      <c r="E20" s="48">
        <f>E19-E18</f>
        <v>3914.2622752371171</v>
      </c>
      <c r="F20" s="48">
        <f>F19-F18</f>
        <v>-869.10810000996571</v>
      </c>
      <c r="G20" s="48">
        <f>G19-G18</f>
        <v>-1003.4942819999997</v>
      </c>
      <c r="H20" s="48">
        <f t="shared" si="0"/>
        <v>4164.3283999999985</v>
      </c>
      <c r="I20" s="48">
        <f t="shared" si="0"/>
        <v>435.6792820000046</v>
      </c>
      <c r="J20" s="48">
        <f t="shared" si="0"/>
        <v>-3281.7079319999975</v>
      </c>
      <c r="K20" s="48">
        <f t="shared" si="0"/>
        <v>3462.6184999999969</v>
      </c>
      <c r="L20" s="48">
        <f t="shared" si="0"/>
        <v>-334.94857399999455</v>
      </c>
      <c r="M20" s="48">
        <f t="shared" si="0"/>
        <v>-334.94857399999455</v>
      </c>
      <c r="N20" s="48">
        <f t="shared" si="0"/>
        <v>2863.607971999998</v>
      </c>
      <c r="O20" s="48">
        <f t="shared" si="0"/>
        <v>2863.607971999998</v>
      </c>
      <c r="P20" s="48">
        <f t="shared" si="0"/>
        <v>-937.83548200000951</v>
      </c>
      <c r="Q20" s="48">
        <f t="shared" si="0"/>
        <v>6562.1645179999905</v>
      </c>
      <c r="R20" s="48">
        <f t="shared" si="0"/>
        <v>6562.1645179999905</v>
      </c>
      <c r="S20" s="48">
        <f t="shared" si="0"/>
        <v>2762.8224699999846</v>
      </c>
      <c r="T20" s="48">
        <f t="shared" si="0"/>
        <v>2762.8224699999846</v>
      </c>
      <c r="U20" s="48">
        <f t="shared" si="0"/>
        <v>2762.8224699999846</v>
      </c>
      <c r="V20" s="48">
        <f t="shared" si="0"/>
        <v>-1036.5195780000067</v>
      </c>
      <c r="W20" s="48">
        <f t="shared" si="0"/>
        <v>28407.57033199002</v>
      </c>
    </row>
    <row r="22" spans="1:23" x14ac:dyDescent="0.25">
      <c r="A22" s="56" t="str">
        <f>"Annual financial difference of changing contracts based on pay point "&amp;C4</f>
        <v>Annual financial difference of changing contracts based on pay point 1</v>
      </c>
    </row>
    <row r="23" spans="1:23" x14ac:dyDescent="0.25">
      <c r="A23" t="s">
        <v>20</v>
      </c>
    </row>
    <row r="25" spans="1:23" ht="45" x14ac:dyDescent="0.25">
      <c r="A25" s="49"/>
      <c r="B25" s="49" t="str">
        <f>B17</f>
        <v>Salary 31 Mar 21</v>
      </c>
      <c r="C25" s="49" t="str">
        <f t="shared" ref="C25:V25" si="1">C17</f>
        <v>21/22 Wage Award</v>
      </c>
      <c r="D25" s="49" t="str">
        <f>D17</f>
        <v>21/22 Progression</v>
      </c>
      <c r="E25" s="49" t="str">
        <f>E17</f>
        <v>22/23 Wage Award</v>
      </c>
      <c r="F25" s="49" t="str">
        <f>F17</f>
        <v>22/23 Progression</v>
      </c>
      <c r="G25" s="49" t="str">
        <f>G17</f>
        <v>23/24 Wage Award</v>
      </c>
      <c r="H25" s="49" t="str">
        <f t="shared" si="1"/>
        <v>23/24 Progression</v>
      </c>
      <c r="I25" s="49" t="str">
        <f t="shared" si="1"/>
        <v>24/25</v>
      </c>
      <c r="J25" s="49" t="str">
        <f t="shared" si="1"/>
        <v>25/26</v>
      </c>
      <c r="K25" s="49" t="str">
        <f t="shared" si="1"/>
        <v>26/27</v>
      </c>
      <c r="L25" s="49" t="str">
        <f t="shared" si="1"/>
        <v>27/28</v>
      </c>
      <c r="M25" s="49" t="str">
        <f t="shared" si="1"/>
        <v>28/29</v>
      </c>
      <c r="N25" s="49" t="str">
        <f t="shared" si="1"/>
        <v>29/30</v>
      </c>
      <c r="O25" s="49" t="str">
        <f t="shared" si="1"/>
        <v>30/31</v>
      </c>
      <c r="P25" s="49" t="str">
        <f t="shared" si="1"/>
        <v>31/32</v>
      </c>
      <c r="Q25" s="49" t="str">
        <f t="shared" si="1"/>
        <v>32/33</v>
      </c>
      <c r="R25" s="49" t="str">
        <f t="shared" si="1"/>
        <v>33/34</v>
      </c>
      <c r="S25" s="49" t="str">
        <f t="shared" si="1"/>
        <v>34/35</v>
      </c>
      <c r="T25" s="49" t="str">
        <f t="shared" si="1"/>
        <v>35/36</v>
      </c>
      <c r="U25" s="49" t="str">
        <f t="shared" si="1"/>
        <v>36/37</v>
      </c>
      <c r="V25" s="49" t="str">
        <f t="shared" si="1"/>
        <v>37/38</v>
      </c>
    </row>
    <row r="26" spans="1:23" x14ac:dyDescent="0.25">
      <c r="A26" s="47" t="s">
        <v>21</v>
      </c>
      <c r="B26" s="48">
        <f>IF(B20&gt;=0,B20,#N/A)</f>
        <v>0</v>
      </c>
      <c r="C26" s="48">
        <f t="shared" ref="C26:V26" si="2">IF(C20&gt;=0,C20,#N/A)</f>
        <v>2744</v>
      </c>
      <c r="D26" s="48">
        <f>IF(D20&gt;=0,D20,#N/A)</f>
        <v>0</v>
      </c>
      <c r="E26" s="48">
        <f>IF(E20&gt;=0,E20,#N/A)</f>
        <v>3914.2622752371171</v>
      </c>
      <c r="F26" s="48" t="e">
        <f>IF(F20&gt;=0,F20,#N/A)</f>
        <v>#N/A</v>
      </c>
      <c r="G26" s="48" t="e">
        <f>IF(G20&gt;=0,G20,#N/A)</f>
        <v>#N/A</v>
      </c>
      <c r="H26" s="48">
        <f t="shared" si="2"/>
        <v>4164.3283999999985</v>
      </c>
      <c r="I26" s="48">
        <f t="shared" si="2"/>
        <v>435.6792820000046</v>
      </c>
      <c r="J26" s="48" t="e">
        <f t="shared" si="2"/>
        <v>#N/A</v>
      </c>
      <c r="K26" s="48">
        <f t="shared" si="2"/>
        <v>3462.6184999999969</v>
      </c>
      <c r="L26" s="48" t="e">
        <f t="shared" si="2"/>
        <v>#N/A</v>
      </c>
      <c r="M26" s="48" t="e">
        <f t="shared" si="2"/>
        <v>#N/A</v>
      </c>
      <c r="N26" s="48">
        <f t="shared" si="2"/>
        <v>2863.607971999998</v>
      </c>
      <c r="O26" s="48">
        <f t="shared" si="2"/>
        <v>2863.607971999998</v>
      </c>
      <c r="P26" s="48" t="e">
        <f t="shared" si="2"/>
        <v>#N/A</v>
      </c>
      <c r="Q26" s="48">
        <f t="shared" si="2"/>
        <v>6562.1645179999905</v>
      </c>
      <c r="R26" s="48">
        <f t="shared" si="2"/>
        <v>6562.1645179999905</v>
      </c>
      <c r="S26" s="48">
        <f t="shared" si="2"/>
        <v>2762.8224699999846</v>
      </c>
      <c r="T26" s="48">
        <f t="shared" si="2"/>
        <v>2762.8224699999846</v>
      </c>
      <c r="U26" s="48">
        <f t="shared" si="2"/>
        <v>2762.8224699999846</v>
      </c>
      <c r="V26" s="48" t="e">
        <f t="shared" si="2"/>
        <v>#N/A</v>
      </c>
    </row>
    <row r="27" spans="1:23" x14ac:dyDescent="0.25">
      <c r="A27" s="47" t="s">
        <v>22</v>
      </c>
      <c r="B27" s="48" t="e">
        <f>IF(B20&lt;0,B20,#N/A)</f>
        <v>#N/A</v>
      </c>
      <c r="C27" s="48" t="e">
        <f t="shared" ref="C27:V27" si="3">IF(C20&lt;0,C20,#N/A)</f>
        <v>#N/A</v>
      </c>
      <c r="D27" s="48" t="e">
        <f>IF(D20&lt;0,D20,#N/A)</f>
        <v>#N/A</v>
      </c>
      <c r="E27" s="48" t="e">
        <f>IF(E20&lt;0,E20,#N/A)</f>
        <v>#N/A</v>
      </c>
      <c r="F27" s="48">
        <f>IF(F20&lt;0,F20,#N/A)</f>
        <v>-869.10810000996571</v>
      </c>
      <c r="G27" s="48">
        <f>IF(G20&lt;0,G20,#N/A)</f>
        <v>-1003.4942819999997</v>
      </c>
      <c r="H27" s="48" t="e">
        <f t="shared" si="3"/>
        <v>#N/A</v>
      </c>
      <c r="I27" s="48" t="e">
        <f t="shared" si="3"/>
        <v>#N/A</v>
      </c>
      <c r="J27" s="48">
        <f t="shared" si="3"/>
        <v>-3281.7079319999975</v>
      </c>
      <c r="K27" s="48" t="e">
        <f t="shared" si="3"/>
        <v>#N/A</v>
      </c>
      <c r="L27" s="48">
        <f t="shared" si="3"/>
        <v>-334.94857399999455</v>
      </c>
      <c r="M27" s="48">
        <f t="shared" si="3"/>
        <v>-334.94857399999455</v>
      </c>
      <c r="N27" s="48" t="e">
        <f t="shared" si="3"/>
        <v>#N/A</v>
      </c>
      <c r="O27" s="48" t="e">
        <f t="shared" si="3"/>
        <v>#N/A</v>
      </c>
      <c r="P27" s="48">
        <f t="shared" si="3"/>
        <v>-937.83548200000951</v>
      </c>
      <c r="Q27" s="48" t="e">
        <f t="shared" si="3"/>
        <v>#N/A</v>
      </c>
      <c r="R27" s="48" t="e">
        <f t="shared" si="3"/>
        <v>#N/A</v>
      </c>
      <c r="S27" s="48" t="e">
        <f t="shared" si="3"/>
        <v>#N/A</v>
      </c>
      <c r="T27" s="48" t="e">
        <f t="shared" si="3"/>
        <v>#N/A</v>
      </c>
      <c r="U27" s="48" t="e">
        <f t="shared" si="3"/>
        <v>#N/A</v>
      </c>
      <c r="V27" s="48">
        <f t="shared" si="3"/>
        <v>-1036.5195780000067</v>
      </c>
    </row>
    <row r="32" spans="1:23" ht="48.75" customHeight="1" x14ac:dyDescent="0.25">
      <c r="E32" s="128" t="str">
        <f>"Cumulative basic salary earning from 21/22 on both contracts based on pay point " &amp;$C$4 &amp; "
(assuming 01 October progression date each year)"</f>
        <v>Cumulative basic salary earning from 21/22 on both contracts based on pay point 1
(assuming 01 October progression date each year)</v>
      </c>
      <c r="F32" s="129"/>
      <c r="G32" s="130"/>
    </row>
    <row r="33" spans="1:11" x14ac:dyDescent="0.25">
      <c r="A33" s="47"/>
      <c r="B33" s="47" t="str">
        <f>A18</f>
        <v>2008 Contract</v>
      </c>
      <c r="C33" s="47" t="str">
        <f>A19</f>
        <v>2021 Contract</v>
      </c>
    </row>
    <row r="34" spans="1:11" x14ac:dyDescent="0.25">
      <c r="A34" s="47" t="str" cm="1">
        <f t="array" ref="A34">INDEX($A$17:$V$17,,ROWS($A$33:A34))</f>
        <v>Salary 31 Mar 21</v>
      </c>
      <c r="B34" s="48">
        <f t="shared" ref="B34:B54" si="4">HLOOKUP($A34,$A$17:$V$20,2,FALSE)</f>
        <v>41360</v>
      </c>
      <c r="C34" s="48">
        <f t="shared" ref="C34:C54" si="5">HLOOKUP($A34,$A$17:$V$20,3,FALSE)</f>
        <v>41360</v>
      </c>
      <c r="E34" s="47" t="s">
        <v>48</v>
      </c>
      <c r="F34" s="47" t="s">
        <v>28</v>
      </c>
      <c r="G34" s="47" t="s">
        <v>29</v>
      </c>
    </row>
    <row r="35" spans="1:11" x14ac:dyDescent="0.25">
      <c r="A35" s="47" t="str" cm="1">
        <f t="array" ref="A35">INDEX($A$17:$V$17,,ROWS($A$33:A35))</f>
        <v>21/22 Wage Award</v>
      </c>
      <c r="B35" s="48">
        <f t="shared" si="4"/>
        <v>42601</v>
      </c>
      <c r="C35" s="48">
        <f t="shared" si="5"/>
        <v>45345</v>
      </c>
      <c r="E35" s="89" t="s">
        <v>43</v>
      </c>
      <c r="F35" s="48">
        <f>(B35+B36)/2</f>
        <v>44421.94</v>
      </c>
      <c r="G35" s="48">
        <f>(C35+C36)/2</f>
        <v>45793.94</v>
      </c>
      <c r="J35" s="88"/>
      <c r="K35" s="88"/>
    </row>
    <row r="36" spans="1:11" x14ac:dyDescent="0.25">
      <c r="A36" s="47" t="str" cm="1">
        <f t="array" ref="A36">INDEX($A$17:$V$17,,ROWS($A$33:A36))</f>
        <v>21/22 Progression</v>
      </c>
      <c r="B36" s="48">
        <f t="shared" si="4"/>
        <v>46242.879999999997</v>
      </c>
      <c r="C36" s="48">
        <f t="shared" si="5"/>
        <v>46242.879999999997</v>
      </c>
      <c r="E36" s="89" t="s">
        <v>44</v>
      </c>
      <c r="F36" s="48">
        <f>F35+((B37+B38)/2)</f>
        <v>93518.89850000001</v>
      </c>
      <c r="G36" s="48">
        <f>G35+((C37+C38)/2)</f>
        <v>96413.475587613575</v>
      </c>
      <c r="J36" s="88"/>
      <c r="K36" s="88"/>
    </row>
    <row r="37" spans="1:11" x14ac:dyDescent="0.25">
      <c r="A37" s="47" t="str" cm="1">
        <f t="array" ref="A37">INDEX($A$17:$V$17,,ROWS($A$33:A37))</f>
        <v>22/23 Wage Award</v>
      </c>
      <c r="B37" s="48">
        <f t="shared" si="4"/>
        <v>46705.308799999999</v>
      </c>
      <c r="C37" s="48">
        <f t="shared" si="5"/>
        <v>50619.571075237116</v>
      </c>
      <c r="E37" s="89" t="s">
        <v>45</v>
      </c>
      <c r="F37" s="48">
        <f>F36+((B39+B40)/2)</f>
        <v>146816.48144100001</v>
      </c>
      <c r="G37" s="48">
        <f>G36+((C39+C40)/2)</f>
        <v>151291.47558761359</v>
      </c>
      <c r="J37" s="88"/>
      <c r="K37" s="88"/>
    </row>
    <row r="38" spans="1:11" x14ac:dyDescent="0.25">
      <c r="A38" s="47" t="str" cm="1">
        <f t="array" ref="A38">INDEX($A$17:$V$17,,ROWS($A$33:A38))</f>
        <v>22/23 Progression</v>
      </c>
      <c r="B38" s="48">
        <f t="shared" si="4"/>
        <v>51488.608200000002</v>
      </c>
      <c r="C38" s="48">
        <f t="shared" si="5"/>
        <v>50619.500099990037</v>
      </c>
      <c r="E38" s="89" t="s">
        <v>1</v>
      </c>
      <c r="F38" s="48">
        <f>F37+((B40+B41)/2)</f>
        <v>203272.47760000001</v>
      </c>
      <c r="G38" s="48">
        <f>G37+((C40+C41)/2)</f>
        <v>210047.47558761359</v>
      </c>
      <c r="J38" s="88"/>
      <c r="K38" s="88"/>
    </row>
    <row r="39" spans="1:11" x14ac:dyDescent="0.25">
      <c r="A39" s="47" t="str" cm="1">
        <f t="array" ref="A39">INDEX($A$17:$V$17,,ROWS($A$33:A39))</f>
        <v>23/24 Wage Award</v>
      </c>
      <c r="B39" s="48">
        <f t="shared" si="4"/>
        <v>52003.494282</v>
      </c>
      <c r="C39" s="48">
        <f t="shared" si="5"/>
        <v>51000</v>
      </c>
      <c r="E39" s="89" t="s">
        <v>2</v>
      </c>
      <c r="F39" s="48">
        <f t="shared" ref="F39:G51" si="6">F38+((B41+B42)/2)</f>
        <v>263451.49192499998</v>
      </c>
      <c r="G39" s="48">
        <f t="shared" si="6"/>
        <v>268803.47558761359</v>
      </c>
      <c r="J39" s="88"/>
      <c r="K39" s="88"/>
    </row>
    <row r="40" spans="1:11" x14ac:dyDescent="0.25">
      <c r="A40" s="47" t="str" cm="1">
        <f t="array" ref="A40">INDEX($A$17:$V$17,,ROWS($A$33:A40))</f>
        <v>23/24 Progression</v>
      </c>
      <c r="B40" s="48">
        <f t="shared" si="4"/>
        <v>54591.671600000001</v>
      </c>
      <c r="C40" s="48">
        <f t="shared" si="5"/>
        <v>58756</v>
      </c>
      <c r="E40" s="89" t="s">
        <v>3</v>
      </c>
      <c r="F40" s="48">
        <f t="shared" si="6"/>
        <v>325489.03664099996</v>
      </c>
      <c r="G40" s="48">
        <f t="shared" si="6"/>
        <v>330931.47558761359</v>
      </c>
      <c r="J40" s="88"/>
      <c r="K40" s="88"/>
    </row>
    <row r="41" spans="1:11" x14ac:dyDescent="0.25">
      <c r="A41" s="47" t="str" cm="1">
        <f t="array" ref="A41">INDEX($A$17:$V$17,,ROWS($A$33:A41))</f>
        <v>24/25</v>
      </c>
      <c r="B41" s="48">
        <f t="shared" si="4"/>
        <v>58320.320717999995</v>
      </c>
      <c r="C41" s="48">
        <f t="shared" si="5"/>
        <v>58756</v>
      </c>
      <c r="E41" s="89" t="s">
        <v>4</v>
      </c>
      <c r="F41" s="48">
        <f t="shared" si="6"/>
        <v>389425.20167799992</v>
      </c>
      <c r="G41" s="48">
        <f t="shared" si="6"/>
        <v>396431.47558761359</v>
      </c>
      <c r="J41" s="88"/>
      <c r="K41" s="88"/>
    </row>
    <row r="42" spans="1:11" x14ac:dyDescent="0.25">
      <c r="A42" s="47" t="str" cm="1">
        <f t="array" ref="A42">INDEX($A$17:$V$17,,ROWS($A$33:A42))</f>
        <v>25/26</v>
      </c>
      <c r="B42" s="48">
        <f t="shared" si="4"/>
        <v>62037.707931999998</v>
      </c>
      <c r="C42" s="48">
        <f t="shared" si="5"/>
        <v>58756</v>
      </c>
      <c r="E42" s="89" t="s">
        <v>5</v>
      </c>
      <c r="F42" s="48">
        <f t="shared" si="6"/>
        <v>455260.1502519999</v>
      </c>
      <c r="G42" s="48">
        <f t="shared" si="6"/>
        <v>461931.47558761359</v>
      </c>
      <c r="J42" s="88"/>
      <c r="K42" s="88"/>
    </row>
    <row r="43" spans="1:11" x14ac:dyDescent="0.25">
      <c r="A43" s="47" t="str" cm="1">
        <f t="array" ref="A43">INDEX($A$17:$V$17,,ROWS($A$33:A43))</f>
        <v>26/27</v>
      </c>
      <c r="B43" s="48">
        <f t="shared" si="4"/>
        <v>62037.381500000003</v>
      </c>
      <c r="C43" s="48">
        <f t="shared" si="5"/>
        <v>65500</v>
      </c>
      <c r="E43" s="89" t="s">
        <v>6</v>
      </c>
      <c r="F43" s="48">
        <f t="shared" si="6"/>
        <v>522995.82055299991</v>
      </c>
      <c r="G43" s="48">
        <f t="shared" si="6"/>
        <v>530931.47558761365</v>
      </c>
      <c r="J43" s="88"/>
      <c r="K43" s="88"/>
    </row>
    <row r="44" spans="1:11" x14ac:dyDescent="0.25">
      <c r="A44" s="47" t="str" cm="1">
        <f t="array" ref="A44">INDEX($A$17:$V$17,,ROWS($A$33:A44))</f>
        <v>27/28</v>
      </c>
      <c r="B44" s="48">
        <f t="shared" si="4"/>
        <v>65834.948573999995</v>
      </c>
      <c r="C44" s="48">
        <f t="shared" si="5"/>
        <v>65500</v>
      </c>
      <c r="E44" s="89" t="s">
        <v>7</v>
      </c>
      <c r="F44" s="48">
        <f t="shared" si="6"/>
        <v>592632.21258099994</v>
      </c>
      <c r="G44" s="48">
        <f t="shared" si="6"/>
        <v>603431.47558761365</v>
      </c>
      <c r="J44" s="88"/>
      <c r="K44" s="88"/>
    </row>
    <row r="45" spans="1:11" x14ac:dyDescent="0.25">
      <c r="A45" s="47" t="str" cm="1">
        <f t="array" ref="A45">INDEX($A$17:$V$17,,ROWS($A$33:A45))</f>
        <v>28/29</v>
      </c>
      <c r="B45" s="48">
        <f t="shared" si="4"/>
        <v>65834.948573999995</v>
      </c>
      <c r="C45" s="48">
        <f t="shared" si="5"/>
        <v>65500</v>
      </c>
      <c r="E45" s="89" t="s">
        <v>8</v>
      </c>
      <c r="F45" s="48">
        <f t="shared" si="6"/>
        <v>664169.32633599988</v>
      </c>
      <c r="G45" s="48">
        <f t="shared" si="6"/>
        <v>675931.47558761365</v>
      </c>
      <c r="J45" s="88"/>
      <c r="K45" s="88"/>
    </row>
    <row r="46" spans="1:11" x14ac:dyDescent="0.25">
      <c r="A46" s="47" t="str" cm="1">
        <f t="array" ref="A46">INDEX($A$17:$V$17,,ROWS($A$33:A46))</f>
        <v>29/30</v>
      </c>
      <c r="B46" s="48">
        <f t="shared" si="4"/>
        <v>69636.392028000002</v>
      </c>
      <c r="C46" s="48">
        <f t="shared" si="5"/>
        <v>72500</v>
      </c>
      <c r="E46" s="89" t="s">
        <v>9</v>
      </c>
      <c r="F46" s="48">
        <f t="shared" si="6"/>
        <v>737607.16181799991</v>
      </c>
      <c r="G46" s="48">
        <f t="shared" si="6"/>
        <v>752181.47558761365</v>
      </c>
      <c r="J46" s="88"/>
      <c r="K46" s="88"/>
    </row>
    <row r="47" spans="1:11" x14ac:dyDescent="0.25">
      <c r="A47" s="47" t="str" cm="1">
        <f t="array" ref="A47">INDEX($A$17:$V$17,,ROWS($A$33:A47))</f>
        <v>30/31</v>
      </c>
      <c r="B47" s="48">
        <f t="shared" si="4"/>
        <v>69636.392028000002</v>
      </c>
      <c r="C47" s="48">
        <f t="shared" si="5"/>
        <v>72500</v>
      </c>
      <c r="E47" s="89" t="s">
        <v>10</v>
      </c>
      <c r="F47" s="48">
        <f t="shared" si="6"/>
        <v>811044.99729999993</v>
      </c>
      <c r="G47" s="48">
        <f t="shared" si="6"/>
        <v>832181.47558761365</v>
      </c>
      <c r="J47" s="88"/>
      <c r="K47" s="88"/>
    </row>
    <row r="48" spans="1:11" x14ac:dyDescent="0.25">
      <c r="A48" s="47" t="str" cm="1">
        <f t="array" ref="A48">INDEX($A$17:$V$17,,ROWS($A$33:A48))</f>
        <v>31/32</v>
      </c>
      <c r="B48" s="48">
        <f t="shared" si="4"/>
        <v>73437.83548200001</v>
      </c>
      <c r="C48" s="48">
        <f t="shared" si="5"/>
        <v>72500</v>
      </c>
      <c r="E48" s="89" t="s">
        <v>11</v>
      </c>
      <c r="F48" s="48">
        <f t="shared" si="6"/>
        <v>886382.50380599988</v>
      </c>
      <c r="G48" s="48">
        <f t="shared" si="6"/>
        <v>912181.47558761365</v>
      </c>
      <c r="J48" s="88"/>
      <c r="K48" s="88"/>
    </row>
    <row r="49" spans="1:18" x14ac:dyDescent="0.25">
      <c r="A49" s="47" t="str" cm="1">
        <f t="array" ref="A49">INDEX($A$17:$V$17,,ROWS($A$33:A49))</f>
        <v>32/33</v>
      </c>
      <c r="B49" s="48">
        <f t="shared" si="4"/>
        <v>73437.83548200001</v>
      </c>
      <c r="C49" s="48">
        <f t="shared" si="5"/>
        <v>80000</v>
      </c>
      <c r="E49" s="89" t="s">
        <v>12</v>
      </c>
      <c r="F49" s="48">
        <f t="shared" si="6"/>
        <v>963619.68133599986</v>
      </c>
      <c r="G49" s="48">
        <f t="shared" si="6"/>
        <v>992181.47558761365</v>
      </c>
      <c r="J49" s="88"/>
      <c r="K49" s="88"/>
    </row>
    <row r="50" spans="1:18" x14ac:dyDescent="0.25">
      <c r="A50" s="47" t="str" cm="1">
        <f t="array" ref="A50">INDEX($A$17:$V$17,,ROWS($A$33:A50))</f>
        <v>33/34</v>
      </c>
      <c r="B50" s="48">
        <f t="shared" si="4"/>
        <v>73437.83548200001</v>
      </c>
      <c r="C50" s="48">
        <f t="shared" si="5"/>
        <v>80000</v>
      </c>
      <c r="E50" s="89" t="s">
        <v>13</v>
      </c>
      <c r="F50" s="48">
        <f t="shared" si="6"/>
        <v>1040856.8588659998</v>
      </c>
      <c r="G50" s="48">
        <f t="shared" si="6"/>
        <v>1072181.4755876136</v>
      </c>
      <c r="J50" s="88"/>
      <c r="K50" s="88"/>
    </row>
    <row r="51" spans="1:18" x14ac:dyDescent="0.25">
      <c r="A51" s="47" t="str" cm="1">
        <f t="array" ref="A51">INDEX($A$17:$V$17,,ROWS($A$33:A51))</f>
        <v>34/35</v>
      </c>
      <c r="B51" s="48">
        <f t="shared" si="4"/>
        <v>77237.177530000015</v>
      </c>
      <c r="C51" s="48">
        <f t="shared" si="5"/>
        <v>80000</v>
      </c>
      <c r="E51" s="89" t="s">
        <v>14</v>
      </c>
      <c r="F51" s="48">
        <f t="shared" si="6"/>
        <v>1119993.7074199999</v>
      </c>
      <c r="G51" s="48">
        <f t="shared" si="6"/>
        <v>1152181.4755876136</v>
      </c>
      <c r="J51" s="88"/>
      <c r="K51" s="88"/>
    </row>
    <row r="52" spans="1:18" x14ac:dyDescent="0.25">
      <c r="A52" s="47" t="str" cm="1">
        <f t="array" ref="A52">INDEX($A$17:$V$17,,ROWS($A$33:A52))</f>
        <v>35/36</v>
      </c>
      <c r="B52" s="48">
        <f t="shared" si="4"/>
        <v>77237.177530000015</v>
      </c>
      <c r="C52" s="48">
        <f t="shared" si="5"/>
        <v>80000</v>
      </c>
    </row>
    <row r="53" spans="1:18" x14ac:dyDescent="0.25">
      <c r="A53" s="47" t="str" cm="1">
        <f t="array" ref="A53">INDEX($A$17:$V$17,,ROWS($A$33:A53))</f>
        <v>36/37</v>
      </c>
      <c r="B53" s="48">
        <f t="shared" si="4"/>
        <v>77237.177530000015</v>
      </c>
      <c r="C53" s="48">
        <f t="shared" si="5"/>
        <v>80000</v>
      </c>
    </row>
    <row r="54" spans="1:18" x14ac:dyDescent="0.25">
      <c r="A54" s="47" t="str" cm="1">
        <f t="array" ref="A54">INDEX($A$17:$V$17,,ROWS($A$33:A54))</f>
        <v>37/38</v>
      </c>
      <c r="B54" s="48">
        <f t="shared" si="4"/>
        <v>81036.519578000007</v>
      </c>
      <c r="C54" s="48">
        <f t="shared" si="5"/>
        <v>80000</v>
      </c>
    </row>
    <row r="60" spans="1:18" x14ac:dyDescent="0.25">
      <c r="A60" t="str">
        <f>"Total Cumulative Annual Earnings based on "&amp;C4
&amp;" (assuming progression to next point will be on 01 October each year) "</f>
        <v xml:space="preserve">Total Cumulative Annual Earnings based on 1 (assuming progression to next point will be on 01 October each year) </v>
      </c>
    </row>
    <row r="62" spans="1:18" x14ac:dyDescent="0.25">
      <c r="A62" s="47"/>
      <c r="B62" s="86" t="s">
        <v>43</v>
      </c>
      <c r="C62" s="86" t="s">
        <v>44</v>
      </c>
      <c r="D62" s="86" t="s">
        <v>45</v>
      </c>
      <c r="E62" s="86" t="s">
        <v>1</v>
      </c>
      <c r="F62" s="86" t="s">
        <v>2</v>
      </c>
      <c r="G62" s="86" t="s">
        <v>3</v>
      </c>
      <c r="H62" s="86" t="s">
        <v>4</v>
      </c>
      <c r="I62" s="86" t="s">
        <v>5</v>
      </c>
      <c r="J62" s="86" t="s">
        <v>6</v>
      </c>
      <c r="K62" s="86" t="s">
        <v>7</v>
      </c>
      <c r="L62" s="86" t="s">
        <v>8</v>
      </c>
      <c r="M62" s="86" t="s">
        <v>9</v>
      </c>
      <c r="N62" s="86" t="s">
        <v>10</v>
      </c>
      <c r="O62" s="86" t="s">
        <v>11</v>
      </c>
      <c r="P62" s="86" t="s">
        <v>12</v>
      </c>
      <c r="Q62" s="86" t="s">
        <v>13</v>
      </c>
      <c r="R62" s="86" t="s">
        <v>14</v>
      </c>
    </row>
    <row r="63" spans="1:18" x14ac:dyDescent="0.25">
      <c r="A63" s="47" t="s">
        <v>46</v>
      </c>
      <c r="B63" s="87" t="e">
        <f>VLOOKUP($B$4,#REF!,MATCH(Analysis!B$62,#REF!,0),FALSE)</f>
        <v>#REF!</v>
      </c>
      <c r="C63" s="87" t="e">
        <f>VLOOKUP($B$4,#REF!,MATCH(Analysis!C$62,#REF!,0),FALSE)</f>
        <v>#REF!</v>
      </c>
      <c r="D63" s="87" t="e">
        <f>VLOOKUP($B$4,#REF!,MATCH(Analysis!D$62,#REF!,0),FALSE)</f>
        <v>#REF!</v>
      </c>
      <c r="E63" s="87" t="e">
        <f>VLOOKUP($B$4,#REF!,MATCH(Analysis!E$62,#REF!,0),FALSE)</f>
        <v>#REF!</v>
      </c>
      <c r="F63" s="87" t="e">
        <f>VLOOKUP($B$4,#REF!,MATCH(Analysis!F$62,#REF!,0),FALSE)</f>
        <v>#REF!</v>
      </c>
      <c r="G63" s="87" t="e">
        <f>VLOOKUP($B$4,#REF!,MATCH(Analysis!G$62,#REF!,0),FALSE)</f>
        <v>#REF!</v>
      </c>
      <c r="H63" s="87" t="e">
        <f>VLOOKUP($B$4,#REF!,MATCH(Analysis!H$62,#REF!,0),FALSE)</f>
        <v>#REF!</v>
      </c>
      <c r="I63" s="87" t="e">
        <f>VLOOKUP($B$4,#REF!,MATCH(Analysis!I$62,#REF!,0),FALSE)</f>
        <v>#REF!</v>
      </c>
      <c r="J63" s="87" t="e">
        <f>VLOOKUP($B$4,#REF!,MATCH(Analysis!J$62,#REF!,0),FALSE)</f>
        <v>#REF!</v>
      </c>
      <c r="K63" s="87" t="e">
        <f>VLOOKUP($B$4,#REF!,MATCH(Analysis!K$62,#REF!,0),FALSE)</f>
        <v>#REF!</v>
      </c>
      <c r="L63" s="87" t="e">
        <f>VLOOKUP($B$4,#REF!,MATCH(Analysis!L$62,#REF!,0),FALSE)</f>
        <v>#REF!</v>
      </c>
      <c r="M63" s="87" t="e">
        <f>VLOOKUP($B$4,#REF!,MATCH(Analysis!M$62,#REF!,0),FALSE)</f>
        <v>#REF!</v>
      </c>
      <c r="N63" s="87" t="e">
        <f>VLOOKUP($B$4,#REF!,MATCH(Analysis!N$62,#REF!,0),FALSE)</f>
        <v>#REF!</v>
      </c>
      <c r="O63" s="87" t="e">
        <f>VLOOKUP($B$4,#REF!,MATCH(Analysis!O$62,#REF!,0),FALSE)</f>
        <v>#REF!</v>
      </c>
      <c r="P63" s="87" t="e">
        <f>VLOOKUP($B$4,#REF!,MATCH(Analysis!P$62,#REF!,0),FALSE)</f>
        <v>#REF!</v>
      </c>
      <c r="Q63" s="87" t="e">
        <f>VLOOKUP($B$4,#REF!,MATCH(Analysis!Q$62,#REF!,0),FALSE)</f>
        <v>#REF!</v>
      </c>
      <c r="R63" s="87" t="e">
        <f>VLOOKUP($B$4,#REF!,MATCH(Analysis!R$62,#REF!,0),FALSE)</f>
        <v>#REF!</v>
      </c>
    </row>
    <row r="64" spans="1:18" x14ac:dyDescent="0.25">
      <c r="A64" s="47" t="s">
        <v>47</v>
      </c>
      <c r="B64" s="87" t="e">
        <f>VLOOKUP($B$4,#REF!,MATCH(Analysis!B$62,#REF!,0),FALSE)</f>
        <v>#REF!</v>
      </c>
      <c r="C64" s="87" t="e">
        <f>VLOOKUP($B$4,#REF!,MATCH(Analysis!C$62,#REF!,0),FALSE)</f>
        <v>#REF!</v>
      </c>
      <c r="D64" s="87" t="e">
        <f>VLOOKUP($B$4,#REF!,MATCH(Analysis!D$62,#REF!,0),FALSE)</f>
        <v>#REF!</v>
      </c>
      <c r="E64" s="87" t="e">
        <f>VLOOKUP($B$4,#REF!,MATCH(Analysis!E$62,#REF!,0),FALSE)</f>
        <v>#REF!</v>
      </c>
      <c r="F64" s="87" t="e">
        <f>VLOOKUP($B$4,#REF!,MATCH(Analysis!F$62,#REF!,0),FALSE)</f>
        <v>#REF!</v>
      </c>
      <c r="G64" s="87" t="e">
        <f>VLOOKUP($B$4,#REF!,MATCH(Analysis!G$62,#REF!,0),FALSE)</f>
        <v>#REF!</v>
      </c>
      <c r="H64" s="87" t="e">
        <f>VLOOKUP($B$4,#REF!,MATCH(Analysis!H$62,#REF!,0),FALSE)</f>
        <v>#REF!</v>
      </c>
      <c r="I64" s="87" t="e">
        <f>VLOOKUP($B$4,#REF!,MATCH(Analysis!I$62,#REF!,0),FALSE)</f>
        <v>#REF!</v>
      </c>
      <c r="J64" s="87" t="e">
        <f>VLOOKUP($B$4,#REF!,MATCH(Analysis!J$62,#REF!,0),FALSE)</f>
        <v>#REF!</v>
      </c>
      <c r="K64" s="87" t="e">
        <f>VLOOKUP($B$4,#REF!,MATCH(Analysis!K$62,#REF!,0),FALSE)</f>
        <v>#REF!</v>
      </c>
      <c r="L64" s="87" t="e">
        <f>VLOOKUP($B$4,#REF!,MATCH(Analysis!L$62,#REF!,0),FALSE)</f>
        <v>#REF!</v>
      </c>
      <c r="M64" s="87" t="e">
        <f>VLOOKUP($B$4,#REF!,MATCH(Analysis!M$62,#REF!,0),FALSE)</f>
        <v>#REF!</v>
      </c>
      <c r="N64" s="87" t="e">
        <f>VLOOKUP($B$4,#REF!,MATCH(Analysis!N$62,#REF!,0),FALSE)</f>
        <v>#REF!</v>
      </c>
      <c r="O64" s="87" t="e">
        <f>VLOOKUP($B$4,#REF!,MATCH(Analysis!O$62,#REF!,0),FALSE)</f>
        <v>#REF!</v>
      </c>
      <c r="P64" s="87" t="e">
        <f>VLOOKUP($B$4,#REF!,MATCH(Analysis!P$62,#REF!,0),FALSE)</f>
        <v>#REF!</v>
      </c>
      <c r="Q64" s="87" t="e">
        <f>VLOOKUP($B$4,#REF!,MATCH(Analysis!Q$62,#REF!,0),FALSE)</f>
        <v>#REF!</v>
      </c>
      <c r="R64" s="87" t="e">
        <f>VLOOKUP($B$4,#REF!,MATCH(Analysis!R$62,#REF!,0),FALSE)</f>
        <v>#REF!</v>
      </c>
    </row>
    <row r="65" spans="1:18" x14ac:dyDescent="0.25">
      <c r="A65" s="47" t="s">
        <v>29</v>
      </c>
      <c r="B65" s="87" t="e">
        <f>VLOOKUP($B$4,#REF!,MATCH(Analysis!B$62,#REF!,0),FALSE)</f>
        <v>#REF!</v>
      </c>
      <c r="C65" s="87" t="e">
        <f>VLOOKUP($B$4,#REF!,MATCH(Analysis!C$62,#REF!,0),FALSE)</f>
        <v>#REF!</v>
      </c>
      <c r="D65" s="87" t="e">
        <f>VLOOKUP($B$4,#REF!,MATCH(Analysis!D$62,#REF!,0),FALSE)</f>
        <v>#REF!</v>
      </c>
      <c r="E65" s="87" t="e">
        <f>VLOOKUP($B$4,#REF!,MATCH(Analysis!E$62,#REF!,0),FALSE)</f>
        <v>#REF!</v>
      </c>
      <c r="F65" s="87" t="e">
        <f>VLOOKUP($B$4,#REF!,MATCH(Analysis!F$62,#REF!,0),FALSE)</f>
        <v>#REF!</v>
      </c>
      <c r="G65" s="87" t="e">
        <f>VLOOKUP($B$4,#REF!,MATCH(Analysis!G$62,#REF!,0),FALSE)</f>
        <v>#REF!</v>
      </c>
      <c r="H65" s="87" t="e">
        <f>VLOOKUP($B$4,#REF!,MATCH(Analysis!H$62,#REF!,0),FALSE)</f>
        <v>#REF!</v>
      </c>
      <c r="I65" s="87" t="e">
        <f>VLOOKUP($B$4,#REF!,MATCH(Analysis!I$62,#REF!,0),FALSE)</f>
        <v>#REF!</v>
      </c>
      <c r="J65" s="87" t="e">
        <f>VLOOKUP($B$4,#REF!,MATCH(Analysis!J$62,#REF!,0),FALSE)</f>
        <v>#REF!</v>
      </c>
      <c r="K65" s="87" t="e">
        <f>VLOOKUP($B$4,#REF!,MATCH(Analysis!K$62,#REF!,0),FALSE)</f>
        <v>#REF!</v>
      </c>
      <c r="L65" s="87" t="e">
        <f>VLOOKUP($B$4,#REF!,MATCH(Analysis!L$62,#REF!,0),FALSE)</f>
        <v>#REF!</v>
      </c>
      <c r="M65" s="87" t="e">
        <f>VLOOKUP($B$4,#REF!,MATCH(Analysis!M$62,#REF!,0),FALSE)</f>
        <v>#REF!</v>
      </c>
      <c r="N65" s="87" t="e">
        <f>VLOOKUP($B$4,#REF!,MATCH(Analysis!N$62,#REF!,0),FALSE)</f>
        <v>#REF!</v>
      </c>
      <c r="O65" s="87" t="e">
        <f>VLOOKUP($B$4,#REF!,MATCH(Analysis!O$62,#REF!,0),FALSE)</f>
        <v>#REF!</v>
      </c>
      <c r="P65" s="87" t="e">
        <f>VLOOKUP($B$4,#REF!,MATCH(Analysis!P$62,#REF!,0),FALSE)</f>
        <v>#REF!</v>
      </c>
      <c r="Q65" s="87" t="e">
        <f>VLOOKUP($B$4,#REF!,MATCH(Analysis!Q$62,#REF!,0),FALSE)</f>
        <v>#REF!</v>
      </c>
      <c r="R65" s="87" t="e">
        <f>VLOOKUP($B$4,#REF!,MATCH(Analysis!R$62,#REF!,0),FALSE)</f>
        <v>#REF!</v>
      </c>
    </row>
    <row r="69" spans="1:18" x14ac:dyDescent="0.25">
      <c r="A69" s="47"/>
      <c r="B69" s="86" t="s">
        <v>43</v>
      </c>
      <c r="C69" s="86" t="s">
        <v>44</v>
      </c>
      <c r="D69" s="86" t="s">
        <v>45</v>
      </c>
      <c r="E69" s="86" t="s">
        <v>1</v>
      </c>
      <c r="F69" s="86" t="s">
        <v>2</v>
      </c>
      <c r="G69" s="86" t="s">
        <v>3</v>
      </c>
      <c r="H69" s="86" t="s">
        <v>4</v>
      </c>
      <c r="I69" s="86" t="s">
        <v>5</v>
      </c>
      <c r="J69" s="86" t="s">
        <v>6</v>
      </c>
      <c r="K69" s="86" t="s">
        <v>7</v>
      </c>
      <c r="L69" s="86" t="s">
        <v>8</v>
      </c>
      <c r="M69" s="86" t="s">
        <v>9</v>
      </c>
      <c r="N69" s="86" t="s">
        <v>10</v>
      </c>
      <c r="O69" s="86" t="s">
        <v>11</v>
      </c>
      <c r="P69" s="86" t="s">
        <v>12</v>
      </c>
      <c r="Q69" s="86" t="s">
        <v>13</v>
      </c>
      <c r="R69" s="86" t="s">
        <v>14</v>
      </c>
    </row>
    <row r="70" spans="1:18" x14ac:dyDescent="0.25">
      <c r="A70" s="47" t="s">
        <v>28</v>
      </c>
      <c r="B70" s="85" t="e">
        <f t="shared" ref="B70:R70" si="7">IF(WageAward=0.01,B63,B64)</f>
        <v>#REF!</v>
      </c>
      <c r="C70" s="85" t="e">
        <f t="shared" si="7"/>
        <v>#REF!</v>
      </c>
      <c r="D70" s="85" t="e">
        <f t="shared" si="7"/>
        <v>#REF!</v>
      </c>
      <c r="E70" s="85" t="e">
        <f t="shared" si="7"/>
        <v>#REF!</v>
      </c>
      <c r="F70" s="85" t="e">
        <f t="shared" si="7"/>
        <v>#REF!</v>
      </c>
      <c r="G70" s="85" t="e">
        <f t="shared" si="7"/>
        <v>#REF!</v>
      </c>
      <c r="H70" s="85" t="e">
        <f t="shared" si="7"/>
        <v>#REF!</v>
      </c>
      <c r="I70" s="85" t="e">
        <f t="shared" si="7"/>
        <v>#REF!</v>
      </c>
      <c r="J70" s="85" t="e">
        <f t="shared" si="7"/>
        <v>#REF!</v>
      </c>
      <c r="K70" s="85" t="e">
        <f t="shared" si="7"/>
        <v>#REF!</v>
      </c>
      <c r="L70" s="85" t="e">
        <f t="shared" si="7"/>
        <v>#REF!</v>
      </c>
      <c r="M70" s="85" t="e">
        <f t="shared" si="7"/>
        <v>#REF!</v>
      </c>
      <c r="N70" s="85" t="e">
        <f t="shared" si="7"/>
        <v>#REF!</v>
      </c>
      <c r="O70" s="85" t="e">
        <f t="shared" si="7"/>
        <v>#REF!</v>
      </c>
      <c r="P70" s="85" t="e">
        <f t="shared" si="7"/>
        <v>#REF!</v>
      </c>
      <c r="Q70" s="85" t="e">
        <f t="shared" si="7"/>
        <v>#REF!</v>
      </c>
      <c r="R70" s="85" t="e">
        <f t="shared" si="7"/>
        <v>#REF!</v>
      </c>
    </row>
    <row r="71" spans="1:18" x14ac:dyDescent="0.25">
      <c r="A71" s="47" t="s">
        <v>29</v>
      </c>
      <c r="B71" s="85" t="e">
        <f>B65</f>
        <v>#REF!</v>
      </c>
      <c r="C71" s="85" t="e">
        <f t="shared" ref="C71:R71" si="8">C65</f>
        <v>#REF!</v>
      </c>
      <c r="D71" s="85" t="e">
        <f t="shared" si="8"/>
        <v>#REF!</v>
      </c>
      <c r="E71" s="85" t="e">
        <f t="shared" si="8"/>
        <v>#REF!</v>
      </c>
      <c r="F71" s="85" t="e">
        <f t="shared" si="8"/>
        <v>#REF!</v>
      </c>
      <c r="G71" s="85" t="e">
        <f t="shared" si="8"/>
        <v>#REF!</v>
      </c>
      <c r="H71" s="85" t="e">
        <f t="shared" si="8"/>
        <v>#REF!</v>
      </c>
      <c r="I71" s="85" t="e">
        <f t="shared" si="8"/>
        <v>#REF!</v>
      </c>
      <c r="J71" s="85" t="e">
        <f t="shared" si="8"/>
        <v>#REF!</v>
      </c>
      <c r="K71" s="85" t="e">
        <f t="shared" si="8"/>
        <v>#REF!</v>
      </c>
      <c r="L71" s="85" t="e">
        <f t="shared" si="8"/>
        <v>#REF!</v>
      </c>
      <c r="M71" s="85" t="e">
        <f t="shared" si="8"/>
        <v>#REF!</v>
      </c>
      <c r="N71" s="85" t="e">
        <f t="shared" si="8"/>
        <v>#REF!</v>
      </c>
      <c r="O71" s="85" t="e">
        <f t="shared" si="8"/>
        <v>#REF!</v>
      </c>
      <c r="P71" s="85" t="e">
        <f t="shared" si="8"/>
        <v>#REF!</v>
      </c>
      <c r="Q71" s="85" t="e">
        <f t="shared" si="8"/>
        <v>#REF!</v>
      </c>
      <c r="R71" s="85" t="e">
        <f t="shared" si="8"/>
        <v>#REF!</v>
      </c>
    </row>
  </sheetData>
  <mergeCells count="1">
    <mergeCell ref="E32:G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5563-7EE7-4D12-99D6-C50DA11A7E25}">
  <sheetPr codeName="Sheet4"/>
  <dimension ref="A1:C19"/>
  <sheetViews>
    <sheetView workbookViewId="0">
      <selection activeCell="F16" sqref="F16"/>
    </sheetView>
  </sheetViews>
  <sheetFormatPr defaultRowHeight="15" x14ac:dyDescent="0.25"/>
  <cols>
    <col min="1" max="1" width="18.7109375" bestFit="1" customWidth="1"/>
    <col min="3" max="3" width="12.85546875" customWidth="1"/>
  </cols>
  <sheetData>
    <row r="1" spans="1:3" ht="30" x14ac:dyDescent="0.25">
      <c r="A1" s="49" t="s">
        <v>53</v>
      </c>
      <c r="C1" s="49" t="s">
        <v>17</v>
      </c>
    </row>
    <row r="2" spans="1:3" x14ac:dyDescent="0.25">
      <c r="A2" s="47">
        <v>1</v>
      </c>
      <c r="C2" s="70">
        <v>0</v>
      </c>
    </row>
    <row r="3" spans="1:3" x14ac:dyDescent="0.25">
      <c r="A3" s="47">
        <v>2</v>
      </c>
      <c r="C3" s="70">
        <v>0.01</v>
      </c>
    </row>
    <row r="4" spans="1:3" x14ac:dyDescent="0.25">
      <c r="A4" s="47">
        <v>3</v>
      </c>
      <c r="C4" s="70">
        <v>0.02</v>
      </c>
    </row>
    <row r="5" spans="1:3" x14ac:dyDescent="0.25">
      <c r="A5" s="47">
        <v>4</v>
      </c>
    </row>
    <row r="6" spans="1:3" x14ac:dyDescent="0.25">
      <c r="A6" s="47">
        <v>5</v>
      </c>
    </row>
    <row r="7" spans="1:3" x14ac:dyDescent="0.25">
      <c r="A7" s="47">
        <v>6</v>
      </c>
    </row>
    <row r="8" spans="1:3" x14ac:dyDescent="0.25">
      <c r="A8" s="47">
        <v>7</v>
      </c>
    </row>
    <row r="9" spans="1:3" x14ac:dyDescent="0.25">
      <c r="A9" s="47">
        <v>8</v>
      </c>
    </row>
    <row r="10" spans="1:3" x14ac:dyDescent="0.25">
      <c r="A10" s="47">
        <v>9</v>
      </c>
    </row>
    <row r="11" spans="1:3" x14ac:dyDescent="0.25">
      <c r="A11" s="47">
        <v>10</v>
      </c>
    </row>
    <row r="12" spans="1:3" x14ac:dyDescent="0.25">
      <c r="A12" s="47">
        <v>11</v>
      </c>
    </row>
    <row r="13" spans="1:3" x14ac:dyDescent="0.25">
      <c r="A13" s="47">
        <v>12</v>
      </c>
    </row>
    <row r="14" spans="1:3" x14ac:dyDescent="0.25">
      <c r="A14" s="47">
        <v>13</v>
      </c>
    </row>
    <row r="15" spans="1:3" x14ac:dyDescent="0.25">
      <c r="A15" s="47">
        <v>14</v>
      </c>
    </row>
    <row r="16" spans="1:3" x14ac:dyDescent="0.25">
      <c r="A16" s="47">
        <v>15</v>
      </c>
    </row>
    <row r="17" spans="1:1" x14ac:dyDescent="0.25">
      <c r="A17" s="47">
        <v>16</v>
      </c>
    </row>
    <row r="18" spans="1:1" x14ac:dyDescent="0.25">
      <c r="A18" s="47">
        <v>17</v>
      </c>
    </row>
    <row r="19" spans="1:1" x14ac:dyDescent="0.25">
      <c r="A19" s="47">
        <v>18</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Pay Journey</vt:lpstr>
      <vt:lpstr>Pay Tables</vt:lpstr>
      <vt:lpstr>Analysis</vt:lpstr>
      <vt:lpstr>Lookup</vt:lpstr>
      <vt:lpstr>WageAward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Cunningham</dc:creator>
  <cp:lastModifiedBy>Julie Trebble</cp:lastModifiedBy>
  <dcterms:created xsi:type="dcterms:W3CDTF">2021-09-09T10:04:00Z</dcterms:created>
  <dcterms:modified xsi:type="dcterms:W3CDTF">2021-10-27T15:34:08Z</dcterms:modified>
</cp:coreProperties>
</file>